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sandialabs-my.sharepoint.com/personal/cjdelke_sandia_gov/Documents/SmartMAP/RP19/"/>
    </mc:Choice>
  </mc:AlternateContent>
  <xr:revisionPtr revIDLastSave="1405" documentId="8_{33B15531-A69B-4356-A84E-19493EA7CFEC}" xr6:coauthVersionLast="47" xr6:coauthVersionMax="47" xr10:uidLastSave="{EEA02833-551A-4355-A177-102B82186838}"/>
  <bookViews>
    <workbookView xWindow="-90" yWindow="0" windowWidth="15630" windowHeight="10170" tabRatio="655" activeTab="1" xr2:uid="{8E223050-D9C4-4ED8-977D-1CC0F457C9F9}"/>
  </bookViews>
  <sheets>
    <sheet name="Instructions" sheetId="7" r:id="rId1"/>
    <sheet name="Solar Experiment" sheetId="6" r:id="rId2"/>
    <sheet name="Altimeter" sheetId="5" r:id="rId3"/>
    <sheet name="Lookups" sheetId="2" state="hidden" r:id="rId4"/>
  </sheets>
  <definedNames>
    <definedName name="AOPR" comment="Average over period reliability">_xlfn.LAMBDA(_xlpm.model,_xlpm.l,_xlpm.bopr,_xlpm.interval,_xlpm.param, IF(_xlpm.model="Exponential",EXP_AOPR(_xlpm.bopr, _xlpm.interval, _xlpm.param), WALK_AOPR(_xlpm.l, _xlpm.param, _xlpm.interval, _xlpm.bopr)))</definedName>
    <definedName name="BOPR" comment="Beginning of peroid reliability">_xlfn.LAMBDA(_xlpm.policy,_xlpm.l,_xlpm.a,_xlpm.sigt,_xlpm.sigbt, IF(_xlpm.policy="As-Needed",BOPR_ASNEEDED(_xlpm.l,_xlpm.a,_xlpm.sigbt,_xlpm.sigt),IF(_xlpm.policy="Always",BOPR_ALWAYS(_xlpm.l,_xlpm.sigt),BOPR_NORENEWAL(_xlpm.l,_xlpm.a,_xlpm.sigt,_xlpm.sigbt))))</definedName>
    <definedName name="BOPR_ALWAYS" comment="Beginning of period reliability with renew-always policy">_xlfn.LAMBDA(_xlpm.l,_xlpm.sigt, SIMPSON(-_xlpm.l, _xlpm.l, _xlpm.l/500, _xlfn.LAMBDA(_xlpm.x, FTP_ALWAYS(_xlpm.x, _xlpm.sigt))))</definedName>
    <definedName name="BOPR_ASNEEDED" comment="Beginning of period reliability, renew-as-needed policy">_xlfn.LAMBDA(_xlpm.l,_xlpm.a,_xlpm.sigbt,_xlpm.sigt, SIMPSON(-_xlpm.l, _xlpm.l, _xlpm.l/500, _xlfn.LAMBDA(_xlpm.z, FTP_ASNEEDED(_xlpm.z, _xlpm.a, _xlpm.sigt, _xlpm.sigbt))))</definedName>
    <definedName name="BOPR_NORENEWAL" comment="Beginning of period reliability with no-renewal policy">_xlfn.LAMBDA(_xlpm.l,_xlpm.a,_xlpm.sigt,_xlpm.sigbt, SIMPSON(-_xlpm.l, _xlpm.l, _xlpm.l/500, _xlfn.LAMBDA(_xlpm.x, FTP_NORENEWAL(_xlpm.x, _xlpm.a, _xlpm.sigt, _xlpm.sigbt))))</definedName>
    <definedName name="COS_UTILITY" comment="Cosine utility function">_xlfn.LAMBDA(_xlpm.x,_xlpm.xd,_xlpm.xf, IF(ABS(_xlpm.x)&lt;=_xlpm.xd,1,IF(ABS(_xlpm.x)&gt;=_xlpm.xf,0,COS(((ABS(_xlpm.x)-_xlpm.xd)*PI())/(2*(_xlpm.xf-_xlpm.xd)))^2)))</definedName>
    <definedName name="EXP_AOPR" comment="Average over period reliability for exponential model.">_xlfn.LAMBDA(_xlpm.bopr,_xlpm.interval,_xlpm.lamb, _xlpm.bopr/_xlpm.lamb/_xlpm.interval*(1-EXP(-_xlpm.lamb*_xlpm.interval)))</definedName>
    <definedName name="EXP_INTERVAL" comment="Calculated interval for exponential model">_xlfn.LAMBDA(_xlpm.eopr,_xlpm.bopr,_xlpm.lamb,-LN(_xlpm.eopr/_xlpm.bopr)/_xlpm.lamb)</definedName>
    <definedName name="EXP_LAMB" comment="Calculate lambda parameter of exponential reliability model given EOPR, BOPR, and the interval">_xlfn.LAMBDA(_xlpm.eopr,_xlpm.bopr,_xlpm.interval, -LN(_xlpm.eopr/_xlpm.bopr)/_xlpm.interval)</definedName>
    <definedName name="FTP_ALWAYS" comment="Post-test distribution for renew-always policy">_xlfn.LAMBDA(_xlpm.x,_xlpm.sigt, 1/SQRT(2*PI())/_xlpm.sigt*EXP(-(_xlpm.x^2)/(2*_xlpm.sigt^2)))</definedName>
    <definedName name="FTP_ASNEEDED" comment="Post-test distribution for as-needed renewal policy">_xlfn.LAMBDA(_xlpm.x,_xlpm.a,_xlpm.sigt,_xlpm.sigbt, PH(_xlpm.x,_xlpm.a,_xlpm.sigt)/SQRT(2*PI())/_xlpm.sigbt*EXP(-(_xlpm.x^2)/(2*_xlpm.sigbt^2))+(1-PH(0,_xlpm.a,SQRT(_xlpm.sigt^2+_xlpm.sigbt^2)))/SQRT(2*PI())/_xlpm.sigt*EXP(-(_xlpm.x^2)/(2*_xlpm.sigt^2)))</definedName>
    <definedName name="FTP_NORENEWAL" comment="Post-test distribution for no-renewal policy">_xlfn.LAMBDA(_xlpm.x,_xlpm.a,_xlpm.sigt,_xlpm.sigbt, PH(_xlpm.x, _xlpm.a, _xlpm.sigt)/PH(0,_xlpm.a,SQRT(_xlpm.sigt^2+_xlpm.sigbt^2))/SQRT(2*PI())/_xlpm.sigbt*EXP(-(_xlpm.x^2)/(2*_xlpm.sigbt^2)))</definedName>
    <definedName name="L_SIMPSON" comment="Performs Simpson numeric integration on the LAMDA function. Based on https://www.vertex42.com/lambda/simpson.html.">_xlfn.LAMBDA(_xlpm.lower,_xlpm.upper,_xlpm.dx,_xlpm.f, _xlfn.LET(_xlpm.seq_, _xlfn.SEQUENCE(0+(_xlpm.upper-_xlpm.lower)/_xlpm.dx,1,_xlpm.lower+_xlpm.dx,_xlpm.dx), _xlfn.REDUCE(0, _xlpm.seq_, _xlfn.LAMBDA(_xlpm.acc,_xlpm.b, _xlpm.acc + ((_xlpm.dx) / 6) * (_xlpm.f(_xlpm.b - _xlpm.dx) + 4 * _xlpm.f((2 * _xlpm.b - _xlpm.dx) / 2) + _xlpm.f(_xlpm.b))))))</definedName>
    <definedName name="L_SOLVE_NR" comment="Newton-Raphson method for finding f(x) = 0 on LAMBDA function. From https://www.vertex42.com/lambda/newton-raphson.html">_xlfn.LAMBDA(_xlpm.function,_xlpm.xstart,_xlop.y,_xlop.xstep,_xlop.epsilon,_xlop.iterations,_xlop.info, _xlfn.LET(_xlpm.doc,"https://www.vertex42.com/lambda/newton-raphson.html",     _xlpm.version,"1.0.0",     _xlpm.n,ROWS(_xlpm.xstart),     _xlpm.y,IF(_xlfn.ISOMITTED(_xlpm.y),0,_xlpm.y),     _xlpm.xstep,IF(_xlfn.ISOMITTED(_xlpm.xstep),0.1,_xlpm.xstep),     _xlpm.epsilon,IF(_xlfn.ISOMITTED(_xlpm.epsilon),0.00000000000001,_xlpm.epsilon),     _xlpm.iterations,IF(_xlfn.ISOMITTED(_xlpm.iterations),20,_xlpm.iterations),     _xlpm.ret,_xlfn.REDUCE({"x","Fx","Iterations"},_xlfn.SEQUENCE(_xlpm.n),_xlfn.LAMBDA(_xlpm.acc_row,_xlpm.i,         _xlfn.VSTACK(_xlpm.acc_row,         _xlfn.REDUCE(             _xlfn.HSTACK(INDEX(_xlpm.xstart,_xlpm.i),_xlpm.function(INDEX(_xlpm.xstart,_xlpm.i))-_xlpm.y,0),             _xlfn.SEQUENCE(_xlpm.iterations),             _xlfn.LAMBDA(_xlpm.acc,_xlpm.k,             _xlfn.LET(_xlpm.cur_row,_xlfn.TAKE(_xlpm.acc,-1),                 IF(ABS(INDEX(_xlpm.cur_row,1,2))&lt;ABS(_xlpm.epsilon),_xlpm.acc,                     _xlfn.LET(                         _xlpm.xn,INDEX(_xlpm.cur_row,1,1),                         _xlpm.fn,INDEX(_xlpm.cur_row,1,2),                         _xlpm.fprimen,(_xlpm.function(_xlpm.xn+_xlpm.xstep)-_xlpm.y-_xlpm.fn)/_xlpm.xstep,                         _xlpm.xnew,_xlpm.xn-_xlpm.fn/_xlpm.fprimen,                         _xlpm.fnew,_xlpm.function(_xlpm.xnew)-_xlpm.y,                         _xlpm.new_row,_xlfn.HSTACK(_xlpm.xnew,_xlpm.fnew,_xlpm.k),                         _xlpm.output,IF(_xlpm.info="verbose",_xlfn.VSTACK(_xlpm.acc,_xlpm.new_row),_xlpm.new_row),                         _xlpm.output                     )                 )             ))         ))     )),     IF(OR(_xlpm.info=TRUE,_xlpm.info="verbose"),_xlpm.ret,_xlfn.DROP(_xlpm.ret,1,-2)) ))</definedName>
    <definedName name="NORMCDF" comment="Cumulative standard normal distribution">_xlfn.LAMBDA(_xlpm.x, _xlfn.NORM.DIST(_xlpm.x, 0, 1, TRUE))</definedName>
    <definedName name="P_EINA" comment="P(Ein, Ea)">_xlfn.LAMBDA(_xlpm.l,_xlpm.a,_xlpm.sigt,_xlpm.sigbt, 1/SQRT(2*PI())/_xlpm.sigbt*SIMPSON(-_xlpm.l,_xlpm.l,_xlpm.l/500,_xlfn.LAMBDA(_xlpm.z, PH(_xlpm.z,_xlpm.a,_xlpm.sigt)*EXP(-(_xlpm.z^2)/(2*_xlpm.sigbt^2)))))</definedName>
    <definedName name="P_SUCCESS" comment="Probability of success of end item">_xlfn.LAMBDA(_xlpm.interval,_xlpm.model,_xlpm.l,_xlpm.r,_xlpm.bopr,_xlpm.param,_xlpm.psr,_xlpm.xd,_xlpm.xf,_xlpm.psteps,_xlpm.tsteps,     _xlfn.LET(_xlpm.sigbop, SIGMA(_xlpm.l, _xlpm.bopr),         SIMPSON(0, _xlpm.interval, _xlpm.interval/_xlpm.tsteps, _xlfn.LAMBDA(_xlpm.t,             _xlfn.LET(_xlpm.sigt, SIGMA_T(_xlpm.model,_xlpm.t,_xlpm.l,_xlpm.bopr,_xlpm.sigbop,_xlpm.param),                 P_SUCCESS_T(_xlpm.model,_xlpm.r,_xlpm.sigt,_xlpm.psr,_xlpm.xd,_xlpm.xf,_xlpm.psteps)             ))         )/_xlpm.interval     ) )</definedName>
    <definedName name="P_SUCCESS_T" comment="Probability of success at time t">_xlfn.LAMBDA(_xlpm.model,_xlpm.r,_xlpm.sigt,_xlpm.psr,_xlpm.xd,_xlpm.xf,_xlpm.steps, _xlpm.psr/SQRT(2*PI())/_xlpm.sigt*SIMPSON(-_xlpm.r,_xlpm.r,_xlpm.r/_xlpm.steps*2, _xlfn.LAMBDA(_xlpm.x, EXP(-(_xlpm.x^2)/(2*_xlpm.sigt^2))*COS_UTILITY(_xlpm.x, _xlpm.xd, _xlpm.xf))))</definedName>
    <definedName name="PH" comment="Phi function">_xlfn.LAMBDA(_xlpm.x,_xlpm.a,_xlpm.sigma, NORMCDF((_xlpm.a+_xlpm.x)/_xlpm.sigma) + NORMCDF((_xlpm.a-_xlpm.x)/_xlpm.sigma) - 1)</definedName>
    <definedName name="ReliabilityModels" comment="Options for reliability model dropdown">Lookups!$B$2:$B$3</definedName>
    <definedName name="RenewalPolicies" comment="Options for renewal policy dropdown">Lookups!$A$2:$A$4</definedName>
    <definedName name="SIGMA" comment="Calculate standard deviation from tolerance and reliability">_xlfn.LAMBDA(_xlpm.tol,_xlpm.rel, _xlpm.tol/_xlfn.NORM.S.INV((1+_xlpm.rel)/2))</definedName>
    <definedName name="SIGMA_EXP" comment="Calculate sigma(t) for exponential reliability model">_xlfn.LAMBDA(_xlpm.t,_xlpm.l,_xlpm.bopr,_xlpm.lamb, _xlpm.l/_xlfn.NORM.S.INV((1+_xlpm.bopr*EXP(-_xlpm.lamb*_xlpm.t))/2))</definedName>
    <definedName name="SIGMA_FROM_ITP" comment="Returns the process standard deviation given the nominal value, tolerance limits, and in-tolerance probability.">_xlfn.LAMBDA(_xlpm.nom,_xlpm.tl,_xlpm.tu,_xlpm.itp,     _xlfn.IFS(AND(ISNUMBER(_xlpm.tl), ISNUMBER(_xlpm.tu)), _xlfn.LET(             _xlpm.center, (_xlpm.tl+_xlpm.tu)/2,             _xlpm.width, (_xlpm.tu-_xlpm.tl)/2,             _xlpm.bias, (_xlpm.nom-_xlpm.center)/_xlpm.tu,             IF(_xlpm.bias=0, _xlpm.width/_xlfn.NORM.S.INV((1+_xlpm.itp)/2),                 _xlfn.LET(_xlpm.func, _xlfn.LAMBDA(_xlpm.sigma, _xlfn.NORM.DIST(1, _xlpm.bias, _xlpm.sigma, TRUE)-_xlfn.NORM.DIST(-1,_xlpm.bias,_xlpm.sigma,TRUE)),                     _xlpm.width*L_SOLVE_NR(_xlpm.func, 1-ABS(_xlpm.bias), _xlpm.itp, _xlpm.nom/1000)                 )             )         ),         ISNUMBER(_xlpm.tl), IF(_xlpm.tl=_xlpm.nom, NA(), ABS(_xlpm.nom-_xlpm.tl)/_xlfn.NORM.S.INV(_xlpm.itp)),         ISNUMBER(_xlpm.tu), IF(_xlpm.tu=_xlpm.nom, NA(), ABS(_xlpm.tu-_xlpm.nom)/_xlfn.NORM.S.INV(_xlpm.itp))     ) )</definedName>
    <definedName name="SIGMA_T" comment="Calculate sigma(t) for the given reliability model">_xlfn.LAMBDA(_xlpm.model,_xlpm.t,_xlpm.l,_xlpm.bopr,_xlpm.sigbop,_xlpm.param, IFERROR(IF(_xlpm.model="Exponential",SIGMA_EXP(_xlpm.t,_xlpm.l,_xlpm.bopr,_xlpm.param), SIGMA_WALK(_xlpm.t,_xlpm.sigbop,_xlpm.param)), SIGMA(_xlpm.l,_xlpm.bopr)))</definedName>
    <definedName name="SIGMA_WALK" comment="Calculate sigma(t) for random-walk reliability model">_xlfn.LAMBDA(_xlpm.t,_xlpm.sigt,_xlpm.alpha, SQRT(_xlpm.sigt^2+_xlpm.alpha*_xlpm.t))</definedName>
    <definedName name="SIMPSON" comment="Integrate a LAMBDA function using Simpson's Rule">_xlfn.LAMBDA(_xlpm.low,_xlpm.high,_xlpm.dx,_xlpm.f, _xlfn.LET(_xlpm.seq, _xlfn.SEQUENCE(0+(_xlpm.high-_xlpm.low)/_xlpm.dx,1,_xlpm.low+_xlpm.dx,_xlpm.dx), _xlfn.REDUCE(0, _xlpm.seq, _xlfn.LAMBDA(_xlpm.acc,_xlpm.b, _xlpm.acc + ((_xlpm.dx) / 6) * (_xlpm.f(_xlpm.b - _xlpm.dx) + 4 * _xlpm.f((2 * _xlpm.b - _xlpm.dx) / 2) + _xlpm.f(_xlpm.b))))))</definedName>
    <definedName name="TEST_INTERVAL" comment="Calculate the interval to use in computation. The assigned interval (default), or test an interval to hit an EOPR, or a manually-entered interval.">_xlfn.LAMBDA(_xlpm.testtype,_xlpm.model,_xlpm.interval_obs,_xlpm.l,_xlpm.eopr_obs,_xlpm.bopr_obs,_xlpm.test_target,_xlpm.bopr,_xlpm.param,     IF(_xlpm.testtype="None", _xlpm.interval_obs,         IF(_xlpm.testtype="EOPR Target",             IF(_xlpm.model="Exponential",                EXP_INTERVAL(_xlpm.test_target, _xlpm.bopr_obs, _xlpm.param),                WALK_INTERVAL(_xlpm.l, _xlpm.param, _xlpm.bopr, _xlpm.test_target)             ),             _xlpm.test_target         )     ) )</definedName>
    <definedName name="TrialIntervals" comment="Options for trial interval dropdown">Lookups!$C$2:$C$4</definedName>
    <definedName name="WALK_ALPHA" comment="Calculate alpha parameter of random walk model">_xlfn.LAMBDA(_xlpm.interval,_xlpm.sigbt,_xlpm.sigbop, (_xlpm.sigbt^2-_xlpm.sigbop^2)/_xlpm.interval)</definedName>
    <definedName name="WALK_AOPR" comment="Average over period reliability for random walk reliability model">_xlfn.LAMBDA(_xlpm.l,_xlpm.alpha,_xlpm.interval,_xlpm.bopr, PH(0, _xlpm.l, SQRT(SIGMA(_xlpm.l,_xlpm.bopr)^2+_xlpm.alpha*_xlpm.interval/2)))</definedName>
    <definedName name="WALK_INTERVAL" comment="Calculated interval random walk reliability model">_xlfn.LAMBDA(_xlpm.l,_xlpm.alpha,_xlpm.bopr,_xlpm.eopr, (SIGMA(_xlpm.l,_xlpm.eopr)^2-SIGMA(_xlpm.l,_xlpm.bopr)^2)/_xlpm.alpha)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6" l="1"/>
  <c r="F14" i="5"/>
  <c r="F13" i="5"/>
  <c r="E14" i="5"/>
  <c r="E13" i="5"/>
  <c r="E9" i="5"/>
  <c r="D13" i="5"/>
  <c r="B51" i="6"/>
  <c r="F47" i="6" a="1"/>
  <c r="F47" i="6" s="1"/>
  <c r="E47" i="6" a="1"/>
  <c r="E47" i="6" s="1"/>
  <c r="D47" i="6" a="1"/>
  <c r="D47" i="6" s="1"/>
  <c r="C31" i="6"/>
  <c r="C37" i="6" s="1" a="1"/>
  <c r="C37" i="6" s="1"/>
  <c r="F30" i="6" a="1"/>
  <c r="F30" i="6" s="1"/>
  <c r="E30" i="6" a="1"/>
  <c r="E30" i="6" s="1"/>
  <c r="D30" i="6" a="1"/>
  <c r="D30" i="6" s="1"/>
  <c r="F5" i="6"/>
  <c r="E5" i="6"/>
  <c r="B16" i="5"/>
  <c r="C37" i="5" a="1"/>
  <c r="C37" i="5" s="1"/>
  <c r="C48" i="5" s="1"/>
  <c r="C31" i="5"/>
  <c r="E49" i="5" a="1"/>
  <c r="E49" i="5" s="1"/>
  <c r="F49" i="5" a="1"/>
  <c r="F49" i="5" s="1"/>
  <c r="E30" i="5" a="1"/>
  <c r="E30" i="5" s="1"/>
  <c r="F30" i="5" a="1"/>
  <c r="F30" i="5" s="1"/>
  <c r="B53" i="5"/>
  <c r="D30" i="5" a="1"/>
  <c r="D30" i="5" s="1"/>
  <c r="D49" i="5" a="1"/>
  <c r="D49" i="5" s="1"/>
  <c r="D46" i="6" l="1"/>
  <c r="D48" i="6" s="1"/>
  <c r="C46" i="6"/>
  <c r="D48" i="5"/>
  <c r="D50" i="5" s="1"/>
  <c r="D51" i="5" s="1" a="1"/>
  <c r="D51" i="5" s="1"/>
  <c r="D52" i="6" l="1" a="1"/>
  <c r="D52" i="6" s="1"/>
  <c r="D50" i="6" a="1"/>
  <c r="D50" i="6" s="1"/>
  <c r="D49" i="6" a="1"/>
  <c r="D49" i="6" s="1"/>
  <c r="D32" i="6" a="1"/>
  <c r="D32" i="6" s="1"/>
  <c r="D52" i="5" a="1"/>
  <c r="D52" i="5" s="1"/>
  <c r="D53" i="5" s="1" a="1"/>
  <c r="D53" i="5" s="1"/>
  <c r="D54" i="5" a="1"/>
  <c r="D54" i="5" s="1"/>
  <c r="D51" i="6" l="1" a="1"/>
  <c r="D51" i="6" s="1"/>
  <c r="D31" i="6" s="1" a="1"/>
  <c r="D31" i="6" s="1"/>
  <c r="D37" i="6" s="1" a="1"/>
  <c r="D37" i="6" s="1"/>
  <c r="E46" i="6" s="1"/>
  <c r="D55" i="6" a="1"/>
  <c r="D55" i="6" s="1"/>
  <c r="D53" i="6"/>
  <c r="D56" i="6" a="1"/>
  <c r="D56" i="6" s="1"/>
  <c r="D58" i="6" a="1"/>
  <c r="D58" i="6" s="1"/>
  <c r="D55" i="5"/>
  <c r="D58" i="5" a="1"/>
  <c r="D58" i="5" s="1"/>
  <c r="D60" i="5" a="1"/>
  <c r="D60" i="5" s="1"/>
  <c r="D57" i="5" a="1"/>
  <c r="D57" i="5" s="1"/>
  <c r="D32" i="5" a="1"/>
  <c r="D32" i="5" s="1"/>
  <c r="D31" i="5" s="1" a="1"/>
  <c r="D31" i="5" s="1"/>
  <c r="D37" i="5" s="1" a="1"/>
  <c r="D37" i="5" s="1"/>
  <c r="E49" i="6" l="1" a="1"/>
  <c r="E49" i="6" s="1"/>
  <c r="E48" i="6"/>
  <c r="D36" i="6"/>
  <c r="D33" i="6"/>
  <c r="D61" i="6" a="1"/>
  <c r="D61" i="6" s="1"/>
  <c r="D62" i="6" a="1"/>
  <c r="D62" i="6" s="1"/>
  <c r="D57" i="6" a="1"/>
  <c r="D57" i="6" s="1"/>
  <c r="D59" i="6" s="1"/>
  <c r="D35" i="6" s="1"/>
  <c r="D54" i="6" a="1"/>
  <c r="D54" i="6" s="1"/>
  <c r="D34" i="6" s="1"/>
  <c r="E48" i="5"/>
  <c r="D36" i="5"/>
  <c r="D33" i="5"/>
  <c r="D63" i="5" a="1"/>
  <c r="D63" i="5" s="1"/>
  <c r="D64" i="5" a="1"/>
  <c r="D64" i="5" s="1"/>
  <c r="D59" i="5" a="1"/>
  <c r="D59" i="5" s="1"/>
  <c r="D61" i="5" s="1"/>
  <c r="D35" i="5" s="1"/>
  <c r="D56" i="5" a="1"/>
  <c r="D56" i="5" s="1"/>
  <c r="D34" i="5" s="1"/>
  <c r="D63" i="6" l="1"/>
  <c r="D65" i="6" s="1"/>
  <c r="D66" i="6" s="1"/>
  <c r="D43" i="6" s="1"/>
  <c r="D60" i="6"/>
  <c r="E50" i="6" a="1"/>
  <c r="E50" i="6" s="1"/>
  <c r="E51" i="6" s="1" a="1"/>
  <c r="E51" i="6" s="1"/>
  <c r="E52" i="6" a="1"/>
  <c r="E52" i="6" s="1"/>
  <c r="E50" i="5"/>
  <c r="E51" i="5" a="1"/>
  <c r="E51" i="5" s="1"/>
  <c r="D65" i="5"/>
  <c r="D67" i="5" s="1"/>
  <c r="D68" i="5" s="1"/>
  <c r="D69" i="5" s="1"/>
  <c r="D62" i="5"/>
  <c r="D64" i="6" l="1"/>
  <c r="D67" i="6"/>
  <c r="D40" i="6" s="1"/>
  <c r="E56" i="6" a="1"/>
  <c r="E56" i="6" s="1"/>
  <c r="E53" i="6"/>
  <c r="E58" i="6" a="1"/>
  <c r="E58" i="6" s="1"/>
  <c r="E55" i="6" a="1"/>
  <c r="E55" i="6" s="1"/>
  <c r="E32" i="6" a="1"/>
  <c r="E32" i="6" s="1"/>
  <c r="E31" i="6" s="1" a="1"/>
  <c r="E31" i="6" s="1"/>
  <c r="E37" i="6" s="1" a="1"/>
  <c r="E37" i="6" s="1"/>
  <c r="F46" i="6" s="1"/>
  <c r="D41" i="6"/>
  <c r="E52" i="5" a="1"/>
  <c r="E52" i="5" s="1"/>
  <c r="E53" i="5" s="1" a="1"/>
  <c r="E53" i="5" s="1"/>
  <c r="E54" i="5" a="1"/>
  <c r="E54" i="5" s="1"/>
  <c r="D43" i="5"/>
  <c r="D66" i="5"/>
  <c r="D41" i="5"/>
  <c r="D39" i="5"/>
  <c r="D40" i="5"/>
  <c r="D39" i="6" l="1"/>
  <c r="D42" i="6" s="1"/>
  <c r="F49" i="6" a="1"/>
  <c r="F49" i="6" s="1"/>
  <c r="F48" i="6"/>
  <c r="E61" i="6" a="1"/>
  <c r="E61" i="6" s="1"/>
  <c r="E62" i="6" a="1"/>
  <c r="E62" i="6" s="1"/>
  <c r="E57" i="6" a="1"/>
  <c r="E57" i="6" s="1"/>
  <c r="E59" i="6" s="1"/>
  <c r="E35" i="6" s="1"/>
  <c r="E54" i="6" a="1"/>
  <c r="E54" i="6" s="1"/>
  <c r="E34" i="6" s="1"/>
  <c r="E36" i="6"/>
  <c r="E33" i="6"/>
  <c r="E55" i="5"/>
  <c r="E58" i="5" a="1"/>
  <c r="E58" i="5" s="1"/>
  <c r="E60" i="5" a="1"/>
  <c r="E60" i="5" s="1"/>
  <c r="E57" i="5" a="1"/>
  <c r="E57" i="5" s="1"/>
  <c r="E32" i="5" a="1"/>
  <c r="E32" i="5" s="1"/>
  <c r="E31" i="5" s="1" a="1"/>
  <c r="E31" i="5" s="1"/>
  <c r="E37" i="5" s="1" a="1"/>
  <c r="E37" i="5" s="1"/>
  <c r="F48" i="5" s="1"/>
  <c r="D42" i="5"/>
  <c r="E63" i="6" l="1"/>
  <c r="E65" i="6" s="1"/>
  <c r="E66" i="6" s="1"/>
  <c r="E60" i="6"/>
  <c r="F50" i="6" a="1"/>
  <c r="F50" i="6" s="1"/>
  <c r="F51" i="6" s="1" a="1"/>
  <c r="F51" i="6" s="1"/>
  <c r="F52" i="6" a="1"/>
  <c r="F52" i="6" s="1"/>
  <c r="E64" i="6"/>
  <c r="E67" i="6"/>
  <c r="E43" i="6"/>
  <c r="F50" i="5"/>
  <c r="F51" i="5" a="1"/>
  <c r="F51" i="5" s="1"/>
  <c r="E33" i="5"/>
  <c r="E36" i="5"/>
  <c r="E56" i="5" a="1"/>
  <c r="E56" i="5" s="1"/>
  <c r="E34" i="5" s="1"/>
  <c r="E63" i="5" a="1"/>
  <c r="E63" i="5" s="1"/>
  <c r="E59" i="5" a="1"/>
  <c r="E59" i="5" s="1"/>
  <c r="E61" i="5" s="1"/>
  <c r="E35" i="5" s="1"/>
  <c r="E64" i="5" a="1"/>
  <c r="E64" i="5" s="1"/>
  <c r="E40" i="6" l="1"/>
  <c r="E41" i="6"/>
  <c r="E39" i="6"/>
  <c r="F58" i="6" a="1"/>
  <c r="F58" i="6" s="1"/>
  <c r="F53" i="6"/>
  <c r="F55" i="6" a="1"/>
  <c r="F55" i="6" s="1"/>
  <c r="F56" i="6" a="1"/>
  <c r="F56" i="6" s="1"/>
  <c r="F32" i="6" a="1"/>
  <c r="F32" i="6" s="1"/>
  <c r="E65" i="5"/>
  <c r="E66" i="5" s="1"/>
  <c r="E62" i="5"/>
  <c r="F52" i="5" a="1"/>
  <c r="F52" i="5" s="1"/>
  <c r="F53" i="5" s="1" a="1"/>
  <c r="F53" i="5" s="1"/>
  <c r="F54" i="5" a="1"/>
  <c r="F54" i="5" s="1"/>
  <c r="F33" i="6" l="1"/>
  <c r="F36" i="6"/>
  <c r="F62" i="6" a="1"/>
  <c r="F62" i="6" s="1"/>
  <c r="F57" i="6" a="1"/>
  <c r="F57" i="6" s="1"/>
  <c r="F59" i="6" s="1"/>
  <c r="F35" i="6" s="1"/>
  <c r="F54" i="6" a="1"/>
  <c r="F54" i="6" s="1"/>
  <c r="F34" i="6" s="1"/>
  <c r="F61" i="6" a="1"/>
  <c r="F61" i="6" s="1"/>
  <c r="E42" i="6"/>
  <c r="L10" i="6" a="1"/>
  <c r="L10" i="6" s="1"/>
  <c r="L9" i="6" s="1"/>
  <c r="F31" i="6" a="1"/>
  <c r="F31" i="6" s="1"/>
  <c r="F37" i="6" s="1" a="1"/>
  <c r="F37" i="6" s="1"/>
  <c r="F60" i="5" a="1"/>
  <c r="F60" i="5" s="1"/>
  <c r="F57" i="5" a="1"/>
  <c r="F57" i="5" s="1"/>
  <c r="F58" i="5" a="1"/>
  <c r="F58" i="5" s="1"/>
  <c r="F55" i="5"/>
  <c r="F32" i="5" a="1"/>
  <c r="F32" i="5" s="1"/>
  <c r="L10" i="5" s="1" a="1"/>
  <c r="L10" i="5" s="1"/>
  <c r="L9" i="5" s="1"/>
  <c r="E67" i="5"/>
  <c r="E68" i="5" s="1"/>
  <c r="F63" i="6" l="1"/>
  <c r="F65" i="6" s="1"/>
  <c r="F66" i="6" s="1"/>
  <c r="F67" i="6" s="1"/>
  <c r="F60" i="6"/>
  <c r="F31" i="5" a="1"/>
  <c r="F31" i="5" s="1"/>
  <c r="F37" i="5" s="1" a="1"/>
  <c r="F37" i="5" s="1"/>
  <c r="E69" i="5"/>
  <c r="E40" i="5" s="1"/>
  <c r="E43" i="5"/>
  <c r="F56" i="5" a="1"/>
  <c r="F56" i="5" s="1"/>
  <c r="F34" i="5" s="1"/>
  <c r="F63" i="5" a="1"/>
  <c r="F63" i="5" s="1"/>
  <c r="F59" i="5" a="1"/>
  <c r="F59" i="5" s="1"/>
  <c r="F61" i="5" s="1"/>
  <c r="F35" i="5" s="1"/>
  <c r="F64" i="5" a="1"/>
  <c r="F64" i="5" s="1"/>
  <c r="F33" i="5"/>
  <c r="F36" i="5"/>
  <c r="F64" i="6" l="1"/>
  <c r="F43" i="6"/>
  <c r="L7" i="6" s="1"/>
  <c r="F40" i="6"/>
  <c r="L4" i="6" s="1"/>
  <c r="F41" i="6"/>
  <c r="L5" i="6" s="1"/>
  <c r="F39" i="6"/>
  <c r="F65" i="5"/>
  <c r="F66" i="5" s="1"/>
  <c r="F62" i="5"/>
  <c r="E39" i="5"/>
  <c r="E41" i="5"/>
  <c r="F42" i="6" l="1"/>
  <c r="L6" i="6" s="1"/>
  <c r="L11" i="6" s="1"/>
  <c r="L3" i="6"/>
  <c r="F67" i="5"/>
  <c r="F68" i="5" s="1"/>
  <c r="F69" i="5" s="1"/>
  <c r="F40" i="5" s="1"/>
  <c r="L4" i="5" s="1"/>
  <c r="E42" i="5"/>
  <c r="F43" i="5" l="1"/>
  <c r="L7" i="5" s="1"/>
  <c r="F39" i="5"/>
  <c r="L3" i="5" s="1"/>
  <c r="F41" i="5"/>
  <c r="F42" i="5" l="1"/>
  <c r="L6" i="5" s="1"/>
  <c r="L11" i="5" s="1"/>
  <c r="L5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<sst xmlns="http://schemas.openxmlformats.org/spreadsheetml/2006/main" count="220" uniqueCount="113">
  <si>
    <t>Sandia Primary Standards Lab
End-to-End Measurement Quality Assurance Calculator</t>
  </si>
  <si>
    <t>v0.1</t>
  </si>
  <si>
    <t>uncertainty@sandia.gov</t>
  </si>
  <si>
    <t>This spreadsheet implements the Measurement Quality Assurance (MQA) model defined in NCSLI Recommended Practice 19 (draft version 10). Until the RP-19 is finalized, this spreadsheet is considered a beta version.
No Excel Macros are used, however the calculations make use of Excel's LAMBDA function which is only available in Office 365 or 2024.</t>
  </si>
  <si>
    <t>Spreadsheet Tabs</t>
  </si>
  <si>
    <t>Solar Experiment</t>
  </si>
  <si>
    <t>Calculates the Solar Experiment example from RP-19 section 5.6.</t>
  </si>
  <si>
    <t>Altimeter</t>
  </si>
  <si>
    <t>Calculates the Altimeter example from RP-19 Appendix G.</t>
  </si>
  <si>
    <t>Formula Reference</t>
  </si>
  <si>
    <t>Lists the formulas defined in Excel's Name Manager for reference. Hidden by default.</t>
  </si>
  <si>
    <t>Lookup</t>
  </si>
  <si>
    <t>Provides allowable options for dropdown menus. Hidden by default.</t>
  </si>
  <si>
    <t>MQA Notes</t>
  </si>
  <si>
    <t xml:space="preserve">See RP-19 for description of the parameters and outputs. This spreadsheet assumes normal probability distributions and a cosine utility function. Implemented reliability decay models are "Exponential" and "Random Walk."
Use the "Trial" dropdown to explore how changing intervals affects the results. Select "Interval Target" to try a new interval, or "EOPR Target" to find the interval that results in the given EOPR.
Additional columns may be added to expand the calibration chain.
</t>
  </si>
  <si>
    <t>About</t>
  </si>
  <si>
    <t>Sandia National Laboratories is a multimission laboratory managed and operated by National Technology &amp; Engineering Solutions of Sandia, LLC, a wholly owned subsidiary of Honeywell International Inc., for the U.S. Department of Energy’s National Nuclear Security Administration under contract DE-NA0003525.</t>
  </si>
  <si>
    <t>SAND2026-16029O</t>
  </si>
  <si>
    <t>Calibration Standard</t>
  </si>
  <si>
    <t>Calibration System</t>
  </si>
  <si>
    <t>Test System</t>
  </si>
  <si>
    <t>End Item</t>
  </si>
  <si>
    <t>END ITEM PERFORMANCE</t>
  </si>
  <si>
    <t>TOTAL COSTS</t>
  </si>
  <si>
    <t>Name</t>
  </si>
  <si>
    <t>NIST</t>
  </si>
  <si>
    <t xml:space="preserve"> Comparator</t>
  </si>
  <si>
    <t>Lamp</t>
  </si>
  <si>
    <t>Cost of Failure</t>
  </si>
  <si>
    <t>Annual Calibration Cost</t>
  </si>
  <si>
    <t>Testpoint</t>
  </si>
  <si>
    <t>Degrade Point (xd)</t>
  </si>
  <si>
    <t>Annual Adjustment Cost</t>
  </si>
  <si>
    <t>Units</t>
  </si>
  <si>
    <t>mW</t>
  </si>
  <si>
    <t>Failure Point (xf)</t>
  </si>
  <si>
    <t>Annual Repair Cost</t>
  </si>
  <si>
    <t>Tolerance Limit (L)</t>
  </si>
  <si>
    <t>Probability of Encounter</t>
  </si>
  <si>
    <t>Annual Support Cost</t>
  </si>
  <si>
    <t>Acceptance Limit (A)</t>
  </si>
  <si>
    <t>Probability of Response</t>
  </si>
  <si>
    <t>Cost of Spares</t>
  </si>
  <si>
    <t>Repair Limit (R)</t>
  </si>
  <si>
    <t>Interval Observed</t>
  </si>
  <si>
    <t>Performance Cost</t>
  </si>
  <si>
    <t>EOPR Observed</t>
  </si>
  <si>
    <t>Probability of Success</t>
  </si>
  <si>
    <t>Renewal Policy</t>
  </si>
  <si>
    <t>As-Needed</t>
  </si>
  <si>
    <t>Total Annual Cost</t>
  </si>
  <si>
    <t>Reliability Model</t>
  </si>
  <si>
    <t>Exponential</t>
  </si>
  <si>
    <t>Additional Uncertainty</t>
  </si>
  <si>
    <t>Trial</t>
  </si>
  <si>
    <t>None</t>
  </si>
  <si>
    <t>COST MODEL</t>
  </si>
  <si>
    <t>Quantity of Items</t>
  </si>
  <si>
    <t>Cost of Item</t>
  </si>
  <si>
    <t>Hours to Calibrate</t>
  </si>
  <si>
    <t>Hours to Adjust</t>
  </si>
  <si>
    <t>Cost per Hour</t>
  </si>
  <si>
    <t>Cost to Repair</t>
  </si>
  <si>
    <t>Downtime to Test</t>
  </si>
  <si>
    <t>Downtime to Adjust</t>
  </si>
  <si>
    <t>Downtime to Repair</t>
  </si>
  <si>
    <t>Spare Coverage</t>
  </si>
  <si>
    <t>RELIABILITY RESULTS</t>
  </si>
  <si>
    <t>Calculated Interval</t>
  </si>
  <si>
    <t>AOPR</t>
  </si>
  <si>
    <t>BOPR</t>
  </si>
  <si>
    <t>EOPR (True)</t>
  </si>
  <si>
    <t>EOPR (Observed)</t>
  </si>
  <si>
    <t>False Accept Risk</t>
  </si>
  <si>
    <t>False Reject Risk</t>
  </si>
  <si>
    <t>σaop</t>
  </si>
  <si>
    <t>Operating Costs</t>
  </si>
  <si>
    <t>Total Annual Support Cost</t>
  </si>
  <si>
    <t>Spare Cost</t>
  </si>
  <si>
    <t>σt</t>
  </si>
  <si>
    <t>σobs; Observed Interval</t>
  </si>
  <si>
    <t>σbt; Observed Interval</t>
  </si>
  <si>
    <t>BOPR; Observed Interval</t>
  </si>
  <si>
    <t>EOPR (True); Observed Interval</t>
  </si>
  <si>
    <t>σbt' ; Trial Interval</t>
  </si>
  <si>
    <t>σobs' ; Trial Interval</t>
  </si>
  <si>
    <t>EOPR (Observed)  ; Trial Interval</t>
  </si>
  <si>
    <t>EOPR (True)  ; Trial Interval</t>
  </si>
  <si>
    <t>P(Ein)</t>
  </si>
  <si>
    <t>P(Ea)</t>
  </si>
  <si>
    <t>P(Ein, Ea)</t>
  </si>
  <si>
    <t>UFAR</t>
  </si>
  <si>
    <t>CFAR (traditional)</t>
  </si>
  <si>
    <t>P(accepted)</t>
  </si>
  <si>
    <t>P(repair)</t>
  </si>
  <si>
    <t>P(adjusts)</t>
  </si>
  <si>
    <t>P(renewed)</t>
  </si>
  <si>
    <t>Downtime Rate</t>
  </si>
  <si>
    <t>Number of spares</t>
  </si>
  <si>
    <t>Cals per year</t>
  </si>
  <si>
    <t>ADT 321</t>
  </si>
  <si>
    <t>TTU 205D</t>
  </si>
  <si>
    <t>inHg</t>
  </si>
  <si>
    <t>Random Walk</t>
  </si>
  <si>
    <t>← Uncertainties entered as equation to convert uniform to normal k=1.</t>
  </si>
  <si>
    <t>Renewal Policies</t>
  </si>
  <si>
    <t>Reliability models</t>
  </si>
  <si>
    <t>Trial Interval</t>
  </si>
  <si>
    <t>Always</t>
  </si>
  <si>
    <t>EOPR Target</t>
  </si>
  <si>
    <t>Never</t>
  </si>
  <si>
    <t>Interval Target</t>
  </si>
  <si>
    <t>Interval Observed (years)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</si>
</sst>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00000"/>
    <numFmt numFmtId="166" formatCode="0.0000"/>
    <numFmt numFmtId="167" formatCode="0.000%"/>
    <numFmt numFmtId="168" formatCode="0.0000%"/>
    <numFmt numFmtId="169" formatCode="0.000000%"/>
    <numFmt numFmtId="170" formatCode="0.000"/>
    <numFmt numFmtId="171" formatCode="0.0000000%"/>
    <numFmt numFmtId="172" formatCode="&quot;$&quot;#,##0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i/>
      <sz val="11"/>
      <color rgb="FF32394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20">
    <xf numFmtId="0" fontId="0" fillId="0" borderId="0" xfId="0"/>
    <xf numFmtId="0" fontId="0" fillId="2" borderId="4" xfId="0" applyFill="1" applyBorder="1"/>
    <xf numFmtId="0" fontId="0" fillId="5" borderId="3" xfId="0" applyFill="1" applyBorder="1"/>
    <xf numFmtId="0" fontId="0" fillId="5" borderId="4" xfId="0" applyFill="1" applyBorder="1"/>
    <xf numFmtId="0" fontId="0" fillId="5" borderId="5" xfId="0" applyFill="1" applyBorder="1"/>
    <xf numFmtId="0" fontId="0" fillId="2" borderId="0" xfId="0" applyFill="1" applyBorder="1"/>
    <xf numFmtId="0" fontId="0" fillId="2" borderId="0" xfId="0" applyFill="1" applyBorder="1" applyAlignment="1">
      <alignment horizontal="right"/>
    </xf>
    <xf numFmtId="0" fontId="0" fillId="2" borderId="0" xfId="2" applyNumberFormat="1" applyFont="1" applyFill="1" applyBorder="1"/>
    <xf numFmtId="9" fontId="0" fillId="2" borderId="8" xfId="0" applyNumberFormat="1" applyFill="1" applyBorder="1"/>
    <xf numFmtId="0" fontId="0" fillId="2" borderId="4" xfId="0" applyFill="1" applyBorder="1" applyAlignment="1">
      <alignment horizontal="right"/>
    </xf>
    <xf numFmtId="168" fontId="0" fillId="5" borderId="0" xfId="2" applyNumberFormat="1" applyFont="1" applyFill="1" applyBorder="1"/>
    <xf numFmtId="0" fontId="0" fillId="5" borderId="0" xfId="0" applyFill="1" applyBorder="1"/>
    <xf numFmtId="168" fontId="0" fillId="5" borderId="0" xfId="0" applyNumberFormat="1" applyFill="1" applyBorder="1"/>
    <xf numFmtId="10" fontId="0" fillId="5" borderId="0" xfId="0" applyNumberFormat="1" applyFill="1" applyBorder="1"/>
    <xf numFmtId="165" fontId="0" fillId="6" borderId="7" xfId="0" applyNumberFormat="1" applyFill="1" applyBorder="1"/>
    <xf numFmtId="165" fontId="0" fillId="6" borderId="0" xfId="0" applyNumberFormat="1" applyFill="1" applyBorder="1"/>
    <xf numFmtId="167" fontId="0" fillId="6" borderId="0" xfId="2" applyNumberFormat="1" applyFont="1" applyFill="1" applyBorder="1"/>
    <xf numFmtId="165" fontId="0" fillId="6" borderId="0" xfId="0" applyNumberFormat="1" applyFill="1" applyBorder="1" applyAlignment="1">
      <alignment wrapText="1"/>
    </xf>
    <xf numFmtId="10" fontId="0" fillId="6" borderId="0" xfId="2" applyNumberFormat="1" applyFont="1" applyFill="1" applyBorder="1"/>
    <xf numFmtId="0" fontId="3" fillId="2" borderId="0" xfId="0" applyFont="1" applyFill="1" applyBorder="1" applyAlignment="1">
      <alignment horizontal="right"/>
    </xf>
    <xf numFmtId="0" fontId="3" fillId="2" borderId="3" xfId="0" applyFont="1" applyFill="1" applyBorder="1" applyAlignment="1">
      <alignment horizontal="right"/>
    </xf>
    <xf numFmtId="0" fontId="3" fillId="2" borderId="5" xfId="0" applyFont="1" applyFill="1" applyBorder="1" applyAlignment="1">
      <alignment horizontal="right"/>
    </xf>
    <xf numFmtId="0" fontId="3" fillId="5" borderId="3" xfId="0" applyFont="1" applyFill="1" applyBorder="1" applyAlignment="1">
      <alignment horizontal="right"/>
    </xf>
    <xf numFmtId="0" fontId="3" fillId="5" borderId="5" xfId="0" applyFont="1" applyFill="1" applyBorder="1" applyAlignment="1">
      <alignment horizontal="right"/>
    </xf>
    <xf numFmtId="167" fontId="0" fillId="2" borderId="0" xfId="0" applyNumberFormat="1" applyFill="1" applyBorder="1" applyAlignment="1">
      <alignment horizontal="right"/>
    </xf>
    <xf numFmtId="170" fontId="0" fillId="6" borderId="0" xfId="0" applyNumberFormat="1" applyFill="1" applyBorder="1"/>
    <xf numFmtId="0" fontId="0" fillId="6" borderId="0" xfId="0" applyFill="1"/>
    <xf numFmtId="0" fontId="3" fillId="6" borderId="0" xfId="0" applyFont="1" applyFill="1"/>
    <xf numFmtId="0" fontId="0" fillId="0" borderId="0" xfId="0" applyFill="1"/>
    <xf numFmtId="169" fontId="0" fillId="0" borderId="0" xfId="2" applyNumberFormat="1" applyFont="1" applyFill="1"/>
    <xf numFmtId="10" fontId="0" fillId="2" borderId="0" xfId="0" applyNumberFormat="1" applyFill="1" applyBorder="1" applyAlignment="1">
      <alignment horizontal="right"/>
    </xf>
    <xf numFmtId="0" fontId="3" fillId="0" borderId="0" xfId="0" applyFont="1" applyFill="1" applyBorder="1" applyAlignment="1">
      <alignment horizontal="right"/>
    </xf>
    <xf numFmtId="0" fontId="0" fillId="0" borderId="0" xfId="0" applyFont="1" applyFill="1" applyBorder="1" applyAlignment="1">
      <alignment horizontal="right"/>
    </xf>
    <xf numFmtId="0" fontId="0" fillId="0" borderId="0" xfId="0" applyFill="1" applyBorder="1"/>
    <xf numFmtId="0" fontId="0" fillId="5" borderId="0" xfId="0" applyFont="1" applyFill="1" applyBorder="1" applyAlignment="1">
      <alignment horizontal="right"/>
    </xf>
    <xf numFmtId="0" fontId="0" fillId="6" borderId="1" xfId="0" applyFont="1" applyFill="1" applyBorder="1" applyAlignment="1">
      <alignment horizontal="right"/>
    </xf>
    <xf numFmtId="0" fontId="0" fillId="6" borderId="3" xfId="0" applyFont="1" applyFill="1" applyBorder="1" applyAlignment="1">
      <alignment horizontal="right"/>
    </xf>
    <xf numFmtId="0" fontId="0" fillId="6" borderId="5" xfId="0" applyFont="1" applyFill="1" applyBorder="1" applyAlignment="1">
      <alignment horizontal="right"/>
    </xf>
    <xf numFmtId="0" fontId="0" fillId="6" borderId="0" xfId="0" applyFont="1" applyFill="1" applyBorder="1"/>
    <xf numFmtId="164" fontId="0" fillId="0" borderId="0" xfId="1" applyNumberFormat="1" applyFont="1" applyFill="1" applyBorder="1"/>
    <xf numFmtId="9" fontId="0" fillId="0" borderId="0" xfId="0" applyNumberFormat="1" applyFill="1" applyBorder="1"/>
    <xf numFmtId="166" fontId="0" fillId="5" borderId="0" xfId="0" applyNumberFormat="1" applyFill="1" applyBorder="1"/>
    <xf numFmtId="10" fontId="0" fillId="5" borderId="0" xfId="0" applyNumberFormat="1" applyFont="1" applyFill="1" applyBorder="1" applyAlignment="1">
      <alignment horizontal="right"/>
    </xf>
    <xf numFmtId="165" fontId="0" fillId="6" borderId="7" xfId="0" applyNumberFormat="1" applyFont="1" applyFill="1" applyBorder="1"/>
    <xf numFmtId="0" fontId="0" fillId="6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10" fontId="3" fillId="2" borderId="0" xfId="0" applyNumberFormat="1" applyFont="1" applyFill="1" applyBorder="1" applyAlignment="1">
      <alignment horizontal="right"/>
    </xf>
    <xf numFmtId="166" fontId="0" fillId="5" borderId="0" xfId="0" applyNumberFormat="1" applyFont="1" applyFill="1" applyBorder="1"/>
    <xf numFmtId="2" fontId="0" fillId="6" borderId="0" xfId="0" applyNumberFormat="1" applyFill="1" applyBorder="1"/>
    <xf numFmtId="168" fontId="0" fillId="2" borderId="4" xfId="0" applyNumberFormat="1" applyFill="1" applyBorder="1" applyAlignment="1">
      <alignment horizontal="right"/>
    </xf>
    <xf numFmtId="0" fontId="0" fillId="2" borderId="4" xfId="2" applyNumberFormat="1" applyFont="1" applyFill="1" applyBorder="1"/>
    <xf numFmtId="0" fontId="0" fillId="2" borderId="8" xfId="0" applyFont="1" applyFill="1" applyBorder="1" applyAlignment="1">
      <alignment horizontal="right"/>
    </xf>
    <xf numFmtId="9" fontId="0" fillId="2" borderId="6" xfId="0" applyNumberFormat="1" applyFill="1" applyBorder="1"/>
    <xf numFmtId="168" fontId="0" fillId="5" borderId="4" xfId="2" applyNumberFormat="1" applyFont="1" applyFill="1" applyBorder="1"/>
    <xf numFmtId="168" fontId="0" fillId="5" borderId="4" xfId="0" applyNumberFormat="1" applyFill="1" applyBorder="1"/>
    <xf numFmtId="10" fontId="0" fillId="5" borderId="4" xfId="0" applyNumberFormat="1" applyFill="1" applyBorder="1"/>
    <xf numFmtId="166" fontId="0" fillId="5" borderId="4" xfId="0" applyNumberFormat="1" applyFill="1" applyBorder="1"/>
    <xf numFmtId="0" fontId="0" fillId="5" borderId="8" xfId="0" applyFont="1" applyFill="1" applyBorder="1" applyAlignment="1">
      <alignment horizontal="right"/>
    </xf>
    <xf numFmtId="165" fontId="0" fillId="6" borderId="2" xfId="0" applyNumberFormat="1" applyFill="1" applyBorder="1"/>
    <xf numFmtId="165" fontId="0" fillId="6" borderId="4" xfId="0" applyNumberFormat="1" applyFill="1" applyBorder="1"/>
    <xf numFmtId="167" fontId="0" fillId="6" borderId="4" xfId="2" applyNumberFormat="1" applyFont="1" applyFill="1" applyBorder="1"/>
    <xf numFmtId="165" fontId="0" fillId="6" borderId="4" xfId="0" applyNumberFormat="1" applyFill="1" applyBorder="1" applyAlignment="1">
      <alignment wrapText="1"/>
    </xf>
    <xf numFmtId="10" fontId="0" fillId="6" borderId="4" xfId="2" applyNumberFormat="1" applyFont="1" applyFill="1" applyBorder="1"/>
    <xf numFmtId="2" fontId="0" fillId="6" borderId="4" xfId="0" applyNumberFormat="1" applyFill="1" applyBorder="1"/>
    <xf numFmtId="170" fontId="0" fillId="6" borderId="4" xfId="0" applyNumberFormat="1" applyFill="1" applyBorder="1"/>
    <xf numFmtId="0" fontId="0" fillId="6" borderId="8" xfId="0" applyFont="1" applyFill="1" applyBorder="1"/>
    <xf numFmtId="170" fontId="0" fillId="6" borderId="8" xfId="0" applyNumberFormat="1" applyFill="1" applyBorder="1"/>
    <xf numFmtId="170" fontId="0" fillId="6" borderId="6" xfId="0" applyNumberFormat="1" applyFill="1" applyBorder="1"/>
    <xf numFmtId="0" fontId="2" fillId="3" borderId="7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right" wrapText="1"/>
    </xf>
    <xf numFmtId="0" fontId="3" fillId="2" borderId="4" xfId="0" applyFont="1" applyFill="1" applyBorder="1" applyAlignment="1">
      <alignment horizontal="right" wrapText="1"/>
    </xf>
    <xf numFmtId="172" fontId="0" fillId="2" borderId="0" xfId="1" applyNumberFormat="1" applyFont="1" applyFill="1" applyBorder="1"/>
    <xf numFmtId="172" fontId="0" fillId="5" borderId="0" xfId="1" applyNumberFormat="1" applyFont="1" applyFill="1" applyBorder="1"/>
    <xf numFmtId="172" fontId="0" fillId="5" borderId="4" xfId="1" applyNumberFormat="1" applyFont="1" applyFill="1" applyBorder="1"/>
    <xf numFmtId="172" fontId="0" fillId="5" borderId="8" xfId="1" applyNumberFormat="1" applyFont="1" applyFill="1" applyBorder="1"/>
    <xf numFmtId="172" fontId="0" fillId="5" borderId="6" xfId="1" applyNumberFormat="1" applyFont="1" applyFill="1" applyBorder="1"/>
    <xf numFmtId="171" fontId="0" fillId="5" borderId="4" xfId="0" applyNumberFormat="1" applyFill="1" applyBorder="1"/>
    <xf numFmtId="172" fontId="0" fillId="2" borderId="4" xfId="1" applyNumberFormat="1" applyFont="1" applyFill="1" applyBorder="1"/>
    <xf numFmtId="9" fontId="0" fillId="2" borderId="4" xfId="0" applyNumberFormat="1" applyFill="1" applyBorder="1"/>
    <xf numFmtId="166" fontId="0" fillId="2" borderId="0" xfId="0" applyNumberFormat="1" applyFill="1" applyBorder="1" applyAlignment="1">
      <alignment horizontal="right"/>
    </xf>
    <xf numFmtId="170" fontId="0" fillId="2" borderId="0" xfId="0" applyNumberFormat="1" applyFill="1" applyBorder="1" applyAlignment="1">
      <alignment horizontal="right"/>
    </xf>
    <xf numFmtId="165" fontId="0" fillId="2" borderId="0" xfId="0" applyNumberFormat="1" applyFill="1" applyBorder="1"/>
    <xf numFmtId="0" fontId="0" fillId="2" borderId="4" xfId="0" applyFont="1" applyFill="1" applyBorder="1" applyAlignment="1">
      <alignment horizontal="right"/>
    </xf>
    <xf numFmtId="165" fontId="0" fillId="2" borderId="4" xfId="0" applyNumberFormat="1" applyFill="1" applyBorder="1"/>
    <xf numFmtId="0" fontId="0" fillId="7" borderId="0" xfId="0" applyFill="1" applyAlignment="1">
      <alignment wrapText="1"/>
    </xf>
    <xf numFmtId="0" fontId="0" fillId="7" borderId="0" xfId="0" applyFill="1"/>
    <xf numFmtId="0" fontId="0" fillId="7" borderId="11" xfId="0" applyFill="1" applyBorder="1" applyAlignment="1">
      <alignment wrapText="1"/>
    </xf>
    <xf numFmtId="0" fontId="0" fillId="7" borderId="12" xfId="0" applyFill="1" applyBorder="1" applyAlignment="1">
      <alignment wrapText="1"/>
    </xf>
    <xf numFmtId="0" fontId="0" fillId="7" borderId="0" xfId="0" applyFill="1" applyAlignment="1">
      <alignment horizontal="center"/>
    </xf>
    <xf numFmtId="0" fontId="0" fillId="7" borderId="13" xfId="0" applyFill="1" applyBorder="1" applyAlignment="1">
      <alignment wrapText="1"/>
    </xf>
    <xf numFmtId="0" fontId="0" fillId="7" borderId="14" xfId="0" applyFill="1" applyBorder="1" applyAlignment="1">
      <alignment wrapText="1"/>
    </xf>
    <xf numFmtId="0" fontId="3" fillId="7" borderId="15" xfId="0" applyFont="1" applyFill="1" applyBorder="1" applyAlignment="1">
      <alignment horizontal="left" vertical="center" wrapText="1"/>
    </xf>
    <xf numFmtId="0" fontId="0" fillId="7" borderId="15" xfId="0" applyFill="1" applyBorder="1" applyAlignment="1">
      <alignment horizontal="left" vertical="center" wrapText="1"/>
    </xf>
    <xf numFmtId="0" fontId="3" fillId="7" borderId="15" xfId="0" applyFont="1" applyFill="1" applyBorder="1" applyAlignment="1">
      <alignment vertical="center" wrapText="1"/>
    </xf>
    <xf numFmtId="0" fontId="0" fillId="7" borderId="15" xfId="0" applyFill="1" applyBorder="1" applyAlignment="1">
      <alignment vertical="center" wrapText="1"/>
    </xf>
    <xf numFmtId="0" fontId="0" fillId="7" borderId="9" xfId="0" applyFill="1" applyBorder="1" applyAlignment="1">
      <alignment vertical="top" wrapText="1"/>
    </xf>
    <xf numFmtId="0" fontId="6" fillId="0" borderId="10" xfId="0" applyFont="1" applyBorder="1" applyAlignment="1">
      <alignment horizontal="left" wrapText="1"/>
    </xf>
    <xf numFmtId="0" fontId="0" fillId="7" borderId="13" xfId="0" applyFill="1" applyBorder="1" applyAlignment="1">
      <alignment vertical="top" wrapText="1"/>
    </xf>
    <xf numFmtId="0" fontId="6" fillId="0" borderId="14" xfId="0" applyFont="1" applyBorder="1" applyAlignment="1">
      <alignment horizontal="left" wrapText="1"/>
    </xf>
    <xf numFmtId="0" fontId="0" fillId="7" borderId="0" xfId="0" applyFill="1" applyAlignment="1">
      <alignment vertical="top" wrapText="1"/>
    </xf>
    <xf numFmtId="0" fontId="2" fillId="3" borderId="1" xfId="0" applyFont="1" applyFill="1" applyBorder="1" applyAlignment="1">
      <alignment horizontal="center"/>
    </xf>
    <xf numFmtId="0" fontId="3" fillId="6" borderId="9" xfId="0" applyFont="1" applyFill="1" applyBorder="1" applyAlignment="1">
      <alignment horizontal="center" vertical="top" wrapText="1"/>
    </xf>
    <xf numFmtId="0" fontId="3" fillId="6" borderId="10" xfId="0" applyFont="1" applyFill="1" applyBorder="1" applyAlignment="1">
      <alignment horizontal="center" vertical="top" wrapText="1"/>
    </xf>
    <xf numFmtId="0" fontId="5" fillId="6" borderId="9" xfId="0" applyFont="1" applyFill="1" applyBorder="1" applyAlignment="1">
      <alignment horizontal="center" wrapText="1"/>
    </xf>
    <xf numFmtId="0" fontId="5" fillId="6" borderId="10" xfId="0" applyFont="1" applyFill="1" applyBorder="1" applyAlignment="1">
      <alignment horizontal="center" wrapText="1"/>
    </xf>
    <xf numFmtId="0" fontId="3" fillId="6" borderId="11" xfId="0" applyFont="1" applyFill="1" applyBorder="1" applyAlignment="1">
      <alignment horizontal="center" wrapText="1"/>
    </xf>
    <xf numFmtId="0" fontId="3" fillId="6" borderId="12" xfId="0" applyFont="1" applyFill="1" applyBorder="1" applyAlignment="1">
      <alignment horizontal="center" wrapText="1"/>
    </xf>
    <xf numFmtId="0" fontId="4" fillId="7" borderId="11" xfId="3" applyFill="1" applyBorder="1" applyAlignment="1">
      <alignment horizontal="center" wrapText="1"/>
    </xf>
    <xf numFmtId="0" fontId="4" fillId="7" borderId="12" xfId="3" applyFill="1" applyBorder="1" applyAlignment="1">
      <alignment horizontal="center" wrapText="1"/>
    </xf>
    <xf numFmtId="0" fontId="3" fillId="6" borderId="15" xfId="0" applyFont="1" applyFill="1" applyBorder="1" applyAlignment="1">
      <alignment horizontal="center" wrapText="1"/>
    </xf>
    <xf numFmtId="0" fontId="3" fillId="6" borderId="15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uncertainty@sandia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458C8-6430-4102-9C96-01DC3B78F6AE}">
  <dimension ref="B1:D19"/>
  <sheetViews>
    <sheetView topLeftCell="A6" workbookViewId="0">
      <selection activeCell="C16" sqref="C16"/>
    </sheetView>
  </sheetViews>
  <sheetFormatPr defaultColWidth="9.1796875" defaultRowHeight="14.5" x14ac:dyDescent="0.35"/>
  <cols>
    <col min="1" max="1" width="0.81640625" style="86" customWidth="1"/>
    <col min="2" max="2" width="23.7265625" style="85" customWidth="1"/>
    <col min="3" max="3" width="100.81640625" style="85" customWidth="1"/>
    <col min="4" max="16384" width="9.1796875" style="86"/>
  </cols>
  <sheetData>
    <row r="1" spans="2:4" ht="5.25" customHeight="1" x14ac:dyDescent="0.35"/>
    <row r="2" spans="2:4" ht="42" customHeight="1" x14ac:dyDescent="0.45">
      <c r="B2" s="104" t="s">
        <v>0</v>
      </c>
      <c r="C2" s="105"/>
    </row>
    <row r="3" spans="2:4" ht="18.75" customHeight="1" x14ac:dyDescent="0.35">
      <c r="B3" s="106" t="s">
        <v>1</v>
      </c>
      <c r="C3" s="107"/>
    </row>
    <row r="4" spans="2:4" ht="20.25" customHeight="1" x14ac:dyDescent="0.35">
      <c r="B4" s="108" t="s">
        <v>2</v>
      </c>
      <c r="C4" s="109"/>
    </row>
    <row r="5" spans="2:4" ht="83.25" customHeight="1" x14ac:dyDescent="0.35">
      <c r="B5" s="87"/>
      <c r="C5" s="88" t="s">
        <v>3</v>
      </c>
      <c r="D5" s="89"/>
    </row>
    <row r="6" spans="2:4" ht="7.5" customHeight="1" x14ac:dyDescent="0.35">
      <c r="B6" s="90"/>
      <c r="C6" s="91"/>
      <c r="D6" s="89"/>
    </row>
    <row r="7" spans="2:4" x14ac:dyDescent="0.35">
      <c r="B7" s="110" t="s">
        <v>4</v>
      </c>
      <c r="C7" s="110"/>
      <c r="D7" s="89"/>
    </row>
    <row r="8" spans="2:4" ht="35.25" customHeight="1" x14ac:dyDescent="0.35">
      <c r="B8" s="92" t="s">
        <v>5</v>
      </c>
      <c r="C8" s="93" t="s">
        <v>6</v>
      </c>
      <c r="D8" s="89"/>
    </row>
    <row r="9" spans="2:4" ht="34.5" customHeight="1" x14ac:dyDescent="0.35">
      <c r="B9" s="92" t="s">
        <v>7</v>
      </c>
      <c r="C9" s="93" t="s">
        <v>8</v>
      </c>
      <c r="D9" s="89"/>
    </row>
    <row r="10" spans="2:4" ht="34.5" customHeight="1" x14ac:dyDescent="0.35">
      <c r="B10" s="92" t="s">
        <v>9</v>
      </c>
      <c r="C10" s="93" t="s">
        <v>10</v>
      </c>
      <c r="D10" s="89"/>
    </row>
    <row r="11" spans="2:4" ht="33" customHeight="1" x14ac:dyDescent="0.35">
      <c r="B11" s="92" t="s">
        <v>11</v>
      </c>
      <c r="C11" s="93" t="s">
        <v>12</v>
      </c>
    </row>
    <row r="12" spans="2:4" x14ac:dyDescent="0.35">
      <c r="B12" s="111" t="s">
        <v>13</v>
      </c>
      <c r="C12" s="111"/>
    </row>
    <row r="13" spans="2:4" ht="142.5" customHeight="1" x14ac:dyDescent="0.35">
      <c r="B13" s="94"/>
      <c r="C13" s="95" t="s">
        <v>14</v>
      </c>
    </row>
    <row r="14" spans="2:4" x14ac:dyDescent="0.35">
      <c r="B14" s="102" t="s">
        <v>15</v>
      </c>
      <c r="C14" s="103"/>
    </row>
    <row r="15" spans="2:4" ht="49.5" customHeight="1" x14ac:dyDescent="0.35">
      <c r="B15" s="96"/>
      <c r="C15" s="97" t="s">
        <v>16</v>
      </c>
    </row>
    <row r="16" spans="2:4" x14ac:dyDescent="0.35">
      <c r="B16" s="98"/>
      <c r="C16" s="99" t="s">
        <v>17</v>
      </c>
    </row>
    <row r="17" spans="2:3" x14ac:dyDescent="0.35">
      <c r="B17" s="100"/>
      <c r="C17" s="100"/>
    </row>
    <row r="18" spans="2:3" x14ac:dyDescent="0.35">
      <c r="B18" s="100"/>
      <c r="C18" s="100"/>
    </row>
    <row r="19" spans="2:3" x14ac:dyDescent="0.35">
      <c r="B19" s="100"/>
      <c r="C19" s="100"/>
    </row>
  </sheetData>
  <mergeCells count="6">
    <mergeCell ref="B14:C14"/>
    <mergeCell ref="B2:C2"/>
    <mergeCell ref="B3:C3"/>
    <mergeCell ref="B4:C4"/>
    <mergeCell ref="B7:C7"/>
    <mergeCell ref="B12:C12"/>
  </mergeCells>
  <hyperlinks>
    <hyperlink ref="B4" r:id="rId1" xr:uid="{35339937-9D8D-4C1D-B7A8-BCA248A9F78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85CC2-E147-4E1C-9B01-EEBF30859397}">
  <dimension ref="B1:Q67"/>
  <sheetViews>
    <sheetView showGridLines="0" tabSelected="1" topLeftCell="B1" zoomScaleNormal="100" workbookViewId="0">
      <selection activeCell="D15" sqref="D15"/>
    </sheetView>
  </sheetViews>
  <sheetFormatPr defaultColWidth="9.1796875" defaultRowHeight="14.5" x14ac:dyDescent="0.35"/>
  <cols>
    <col min="1" max="1" width="3.453125" style="28" customWidth="1"/>
    <col min="2" max="2" width="29.26953125" style="31" customWidth="1"/>
    <col min="3" max="3" width="11.81640625" style="32" customWidth="1"/>
    <col min="4" max="4" width="15.81640625" style="28" customWidth="1"/>
    <col min="5" max="5" width="14.453125" style="28" customWidth="1"/>
    <col min="6" max="6" width="15.81640625" style="28" customWidth="1"/>
    <col min="7" max="7" width="4" style="28" customWidth="1"/>
    <col min="8" max="8" width="23.81640625" style="28" customWidth="1"/>
    <col min="9" max="9" width="15.54296875" style="28" customWidth="1"/>
    <col min="10" max="10" width="4.453125" style="28" customWidth="1"/>
    <col min="11" max="11" width="23.1796875" style="28" customWidth="1"/>
    <col min="12" max="12" width="15.81640625" style="28" customWidth="1"/>
    <col min="13" max="13" width="3.26953125" style="28" customWidth="1"/>
    <col min="14" max="15" width="9.1796875" style="28"/>
    <col min="16" max="17" width="12" style="28" bestFit="1" customWidth="1"/>
    <col min="18" max="16384" width="9.1796875" style="28"/>
  </cols>
  <sheetData>
    <row r="1" spans="2:17" ht="15" thickBot="1" x14ac:dyDescent="0.4"/>
    <row r="2" spans="2:17" ht="29" x14ac:dyDescent="0.35">
      <c r="B2" s="101"/>
      <c r="C2" s="68" t="s">
        <v>18</v>
      </c>
      <c r="D2" s="68" t="s">
        <v>19</v>
      </c>
      <c r="E2" s="68" t="s">
        <v>20</v>
      </c>
      <c r="F2" s="69" t="s">
        <v>21</v>
      </c>
      <c r="H2" s="112" t="s">
        <v>22</v>
      </c>
      <c r="I2" s="113"/>
      <c r="K2" s="114" t="s">
        <v>23</v>
      </c>
      <c r="L2" s="115"/>
    </row>
    <row r="3" spans="2:17" ht="16.5" customHeight="1" x14ac:dyDescent="0.35">
      <c r="B3" s="20" t="s">
        <v>24</v>
      </c>
      <c r="C3" s="70" t="s">
        <v>25</v>
      </c>
      <c r="D3" s="70" t="s">
        <v>26</v>
      </c>
      <c r="E3" s="70" t="s">
        <v>27</v>
      </c>
      <c r="F3" s="71" t="s">
        <v>5</v>
      </c>
      <c r="H3" s="20" t="s">
        <v>28</v>
      </c>
      <c r="I3" s="78">
        <v>35000000</v>
      </c>
      <c r="J3" s="39"/>
      <c r="K3" s="2" t="s">
        <v>29</v>
      </c>
      <c r="L3" s="74">
        <f>SUM(D39:F39)</f>
        <v>180135.12689762778</v>
      </c>
    </row>
    <row r="4" spans="2:17" x14ac:dyDescent="0.35">
      <c r="B4" s="20" t="s">
        <v>30</v>
      </c>
      <c r="C4" s="45">
        <v>100</v>
      </c>
      <c r="D4" s="6">
        <v>100</v>
      </c>
      <c r="E4" s="6">
        <v>100</v>
      </c>
      <c r="F4" s="9">
        <v>100</v>
      </c>
      <c r="H4" s="20" t="s">
        <v>31</v>
      </c>
      <c r="I4" s="1">
        <v>10</v>
      </c>
      <c r="J4" s="33"/>
      <c r="K4" s="2" t="s">
        <v>32</v>
      </c>
      <c r="L4" s="74">
        <f>SUM(D40:F40)</f>
        <v>11.878143301262734</v>
      </c>
    </row>
    <row r="5" spans="2:17" x14ac:dyDescent="0.35">
      <c r="B5" s="20" t="s">
        <v>33</v>
      </c>
      <c r="C5" s="45" t="s">
        <v>34</v>
      </c>
      <c r="D5" s="6" t="s">
        <v>34</v>
      </c>
      <c r="E5" s="6" t="str">
        <f>$D$5</f>
        <v>mW</v>
      </c>
      <c r="F5" s="9" t="str">
        <f>$D$5</f>
        <v>mW</v>
      </c>
      <c r="H5" s="20" t="s">
        <v>35</v>
      </c>
      <c r="I5" s="1">
        <v>30</v>
      </c>
      <c r="J5" s="33"/>
      <c r="K5" s="2" t="s">
        <v>36</v>
      </c>
      <c r="L5" s="74">
        <f>SUM(D41:F41)</f>
        <v>4002.3554102061039</v>
      </c>
      <c r="Q5" s="29"/>
    </row>
    <row r="6" spans="2:17" x14ac:dyDescent="0.35">
      <c r="B6" s="20" t="s">
        <v>37</v>
      </c>
      <c r="C6" s="19">
        <v>6.25E-2</v>
      </c>
      <c r="D6" s="6">
        <v>0.25</v>
      </c>
      <c r="E6" s="6">
        <v>1</v>
      </c>
      <c r="F6" s="9">
        <v>10</v>
      </c>
      <c r="H6" s="20" t="s">
        <v>38</v>
      </c>
      <c r="I6" s="79">
        <v>1</v>
      </c>
      <c r="J6" s="33"/>
      <c r="K6" s="2" t="s">
        <v>39</v>
      </c>
      <c r="L6" s="74">
        <f>SUM(D42:F42)</f>
        <v>184149.36045113514</v>
      </c>
      <c r="Q6" s="29"/>
    </row>
    <row r="7" spans="2:17" ht="15" thickBot="1" x14ac:dyDescent="0.4">
      <c r="B7" s="20" t="s">
        <v>40</v>
      </c>
      <c r="C7" s="45"/>
      <c r="D7" s="6">
        <v>0.25</v>
      </c>
      <c r="E7" s="6">
        <v>1</v>
      </c>
      <c r="F7" s="9">
        <v>10</v>
      </c>
      <c r="H7" s="21" t="s">
        <v>41</v>
      </c>
      <c r="I7" s="52">
        <v>1</v>
      </c>
      <c r="J7" s="40"/>
      <c r="K7" s="2" t="s">
        <v>42</v>
      </c>
      <c r="L7" s="74">
        <f>SUM(D43:F43)</f>
        <v>35245.867251754709</v>
      </c>
      <c r="Q7" s="29"/>
    </row>
    <row r="8" spans="2:17" x14ac:dyDescent="0.35">
      <c r="B8" s="20" t="s">
        <v>43</v>
      </c>
      <c r="C8" s="45"/>
      <c r="D8" s="6">
        <v>0.25</v>
      </c>
      <c r="E8" s="6">
        <v>1</v>
      </c>
      <c r="F8" s="9">
        <v>30</v>
      </c>
      <c r="J8" s="40"/>
      <c r="K8" s="2"/>
      <c r="L8" s="74"/>
      <c r="Q8" s="29"/>
    </row>
    <row r="9" spans="2:17" x14ac:dyDescent="0.35">
      <c r="B9" s="20" t="s">
        <v>112</v>
      </c>
      <c r="C9" s="45"/>
      <c r="D9" s="6">
        <v>0.25</v>
      </c>
      <c r="E9" s="81">
        <v>0.33333000000000002</v>
      </c>
      <c r="F9" s="9">
        <v>1</v>
      </c>
      <c r="K9" s="2" t="s">
        <v>45</v>
      </c>
      <c r="L9" s="74">
        <f>(1-L10)*I6*I3*F18</f>
        <v>4.0215977414881365</v>
      </c>
      <c r="Q9" s="29"/>
    </row>
    <row r="10" spans="2:17" x14ac:dyDescent="0.35">
      <c r="B10" s="20" t="s">
        <v>46</v>
      </c>
      <c r="C10" s="46">
        <v>0.99860000000000004</v>
      </c>
      <c r="D10" s="30">
        <v>0.95</v>
      </c>
      <c r="E10" s="24">
        <v>0.99729999999999996</v>
      </c>
      <c r="F10" s="49">
        <v>0.99992999999999999</v>
      </c>
      <c r="K10" s="2" t="s">
        <v>47</v>
      </c>
      <c r="L10" s="77" cm="1">
        <f t="array" ref="L10">P_SUCCESS(F30,F12,F6,F8,F32,F51,I7,I4,I5,25,25)</f>
        <v>0.99999988509720739</v>
      </c>
    </row>
    <row r="11" spans="2:17" ht="15" thickBot="1" x14ac:dyDescent="0.4">
      <c r="B11" s="20" t="s">
        <v>48</v>
      </c>
      <c r="C11" s="45"/>
      <c r="D11" s="6" t="s">
        <v>49</v>
      </c>
      <c r="E11" s="6" t="s">
        <v>49</v>
      </c>
      <c r="F11" s="9" t="s">
        <v>49</v>
      </c>
      <c r="K11" s="4" t="s">
        <v>50</v>
      </c>
      <c r="L11" s="76">
        <f>L6+L9</f>
        <v>184153.38204887664</v>
      </c>
    </row>
    <row r="12" spans="2:17" x14ac:dyDescent="0.35">
      <c r="B12" s="20" t="s">
        <v>51</v>
      </c>
      <c r="C12" s="45"/>
      <c r="D12" s="6" t="s">
        <v>52</v>
      </c>
      <c r="E12" s="6" t="s">
        <v>52</v>
      </c>
      <c r="F12" s="9" t="s">
        <v>52</v>
      </c>
    </row>
    <row r="13" spans="2:17" x14ac:dyDescent="0.35">
      <c r="B13" s="20" t="s">
        <v>53</v>
      </c>
      <c r="C13" s="45"/>
      <c r="D13" s="5">
        <v>0</v>
      </c>
      <c r="E13" s="5">
        <v>0</v>
      </c>
      <c r="F13" s="1">
        <v>0</v>
      </c>
    </row>
    <row r="14" spans="2:17" x14ac:dyDescent="0.35">
      <c r="B14" s="20" t="s">
        <v>53</v>
      </c>
      <c r="C14" s="45"/>
      <c r="D14" s="5">
        <v>0</v>
      </c>
      <c r="E14" s="5">
        <v>0</v>
      </c>
      <c r="F14" s="1">
        <v>0</v>
      </c>
    </row>
    <row r="15" spans="2:17" x14ac:dyDescent="0.35">
      <c r="B15" s="20" t="s">
        <v>54</v>
      </c>
      <c r="C15" s="45"/>
      <c r="D15" s="6" t="s">
        <v>55</v>
      </c>
      <c r="E15" s="6" t="s">
        <v>55</v>
      </c>
      <c r="F15" s="9" t="s">
        <v>55</v>
      </c>
    </row>
    <row r="16" spans="2:17" x14ac:dyDescent="0.35">
      <c r="B16" s="20" t="str">
        <f>IF(D15="None", "-", IF(D15="EOPR Target", "Desired EOPR", "New Interval (years)"))</f>
        <v>-</v>
      </c>
      <c r="C16" s="45"/>
      <c r="D16" s="7">
        <v>1</v>
      </c>
      <c r="E16" s="7">
        <v>0.9</v>
      </c>
      <c r="F16" s="50">
        <v>0.9</v>
      </c>
    </row>
    <row r="17" spans="2:8" x14ac:dyDescent="0.35">
      <c r="B17" s="116" t="s">
        <v>56</v>
      </c>
      <c r="C17" s="117"/>
      <c r="D17" s="117"/>
      <c r="E17" s="117"/>
      <c r="F17" s="118"/>
    </row>
    <row r="18" spans="2:8" x14ac:dyDescent="0.35">
      <c r="B18" s="20" t="s">
        <v>57</v>
      </c>
      <c r="C18" s="45"/>
      <c r="D18" s="5">
        <v>2</v>
      </c>
      <c r="E18" s="5">
        <v>3</v>
      </c>
      <c r="F18" s="1">
        <v>1</v>
      </c>
    </row>
    <row r="19" spans="2:8" x14ac:dyDescent="0.35">
      <c r="B19" s="20" t="s">
        <v>58</v>
      </c>
      <c r="C19" s="45"/>
      <c r="D19" s="72">
        <v>90000</v>
      </c>
      <c r="E19" s="72">
        <v>75000</v>
      </c>
      <c r="F19" s="78">
        <v>250000</v>
      </c>
    </row>
    <row r="20" spans="2:8" x14ac:dyDescent="0.35">
      <c r="B20" s="20" t="s">
        <v>59</v>
      </c>
      <c r="C20" s="45"/>
      <c r="D20" s="5">
        <v>16</v>
      </c>
      <c r="E20" s="5">
        <v>8</v>
      </c>
      <c r="F20" s="1">
        <v>16</v>
      </c>
    </row>
    <row r="21" spans="2:8" x14ac:dyDescent="0.35">
      <c r="B21" s="20" t="s">
        <v>60</v>
      </c>
      <c r="C21" s="45"/>
      <c r="D21" s="5">
        <v>0</v>
      </c>
      <c r="E21" s="5">
        <v>0</v>
      </c>
      <c r="F21" s="1">
        <v>16</v>
      </c>
    </row>
    <row r="22" spans="2:8" x14ac:dyDescent="0.35">
      <c r="B22" s="20" t="s">
        <v>61</v>
      </c>
      <c r="C22" s="45"/>
      <c r="D22" s="72">
        <v>50</v>
      </c>
      <c r="E22" s="72">
        <v>50</v>
      </c>
      <c r="F22" s="78">
        <v>9800</v>
      </c>
    </row>
    <row r="23" spans="2:8" x14ac:dyDescent="0.35">
      <c r="B23" s="20" t="s">
        <v>62</v>
      </c>
      <c r="C23" s="45"/>
      <c r="D23" s="72">
        <v>9000</v>
      </c>
      <c r="E23" s="72">
        <v>7500</v>
      </c>
      <c r="F23" s="78">
        <v>50000</v>
      </c>
    </row>
    <row r="24" spans="2:8" x14ac:dyDescent="0.35">
      <c r="B24" s="20" t="s">
        <v>63</v>
      </c>
      <c r="C24" s="45"/>
      <c r="D24" s="5">
        <v>4</v>
      </c>
      <c r="E24" s="5">
        <v>2</v>
      </c>
      <c r="F24" s="1">
        <v>30</v>
      </c>
    </row>
    <row r="25" spans="2:8" x14ac:dyDescent="0.35">
      <c r="B25" s="20" t="s">
        <v>64</v>
      </c>
      <c r="C25" s="45"/>
      <c r="D25" s="5">
        <v>0</v>
      </c>
      <c r="E25" s="5">
        <v>0</v>
      </c>
      <c r="F25" s="1">
        <v>3</v>
      </c>
    </row>
    <row r="26" spans="2:8" x14ac:dyDescent="0.35">
      <c r="B26" s="20" t="s">
        <v>65</v>
      </c>
      <c r="C26" s="45"/>
      <c r="D26" s="5">
        <v>30</v>
      </c>
      <c r="E26" s="5">
        <v>30</v>
      </c>
      <c r="F26" s="1">
        <v>30</v>
      </c>
    </row>
    <row r="27" spans="2:8" ht="15" thickBot="1" x14ac:dyDescent="0.4">
      <c r="B27" s="21" t="s">
        <v>66</v>
      </c>
      <c r="C27" s="51"/>
      <c r="D27" s="8">
        <v>1</v>
      </c>
      <c r="E27" s="8">
        <v>1</v>
      </c>
      <c r="F27" s="52">
        <v>1</v>
      </c>
    </row>
    <row r="28" spans="2:8" ht="15" thickBot="1" x14ac:dyDescent="0.4">
      <c r="D28" s="33"/>
      <c r="E28" s="33"/>
      <c r="F28" s="33"/>
    </row>
    <row r="29" spans="2:8" x14ac:dyDescent="0.35">
      <c r="B29" s="114" t="s">
        <v>67</v>
      </c>
      <c r="C29" s="119"/>
      <c r="D29" s="119"/>
      <c r="E29" s="119"/>
      <c r="F29" s="115"/>
      <c r="H29" s="33"/>
    </row>
    <row r="30" spans="2:8" x14ac:dyDescent="0.35">
      <c r="B30" s="22" t="s">
        <v>68</v>
      </c>
      <c r="C30" s="34"/>
      <c r="D30" s="11" cm="1">
        <f t="array" ref="D30">TEST_INTERVAL(D15,D12,D9,D6,D50,D49,D16,D32,D51)</f>
        <v>0.25</v>
      </c>
      <c r="E30" s="11" cm="1">
        <f t="array" ref="E30">TEST_INTERVAL(E15,E12,E9,E6,E50,E49,E16,E32,E51)</f>
        <v>0.33333000000000002</v>
      </c>
      <c r="F30" s="3" cm="1">
        <f t="array" ref="F30">TEST_INTERVAL(F15,F12,F9,F6,F50,F49,F16,F32,F51)</f>
        <v>1</v>
      </c>
      <c r="H30" s="31"/>
    </row>
    <row r="31" spans="2:8" x14ac:dyDescent="0.35">
      <c r="B31" s="22" t="s">
        <v>69</v>
      </c>
      <c r="C31" s="42">
        <f>C10</f>
        <v>0.99860000000000004</v>
      </c>
      <c r="D31" s="10" cm="1">
        <f t="array" ref="D31">AOPR(D12,D6,D32,D30,D51)</f>
        <v>0.97332650796507414</v>
      </c>
      <c r="E31" s="10" cm="1">
        <f t="array" ref="E31">AOPR(E12,E6,E32,E30,E51)</f>
        <v>0.99908760049591983</v>
      </c>
      <c r="F31" s="53" cm="1">
        <f t="array" ref="F31">AOPR(F12,F6,F32,F30,F51)</f>
        <v>0.99996422957968589</v>
      </c>
      <c r="H31" s="31"/>
    </row>
    <row r="32" spans="2:8" x14ac:dyDescent="0.35">
      <c r="B32" s="22" t="s">
        <v>70</v>
      </c>
      <c r="C32" s="34"/>
      <c r="D32" s="10" cm="1">
        <f t="array" ref="D32">BOPR(D11,D6,D7,D46,D52)</f>
        <v>0.9942682473405301</v>
      </c>
      <c r="E32" s="10" cm="1">
        <f t="array" ref="E32">BOPR(E11,E6,E7,E46,E52)</f>
        <v>0.99960763363098104</v>
      </c>
      <c r="F32" s="53" cm="1">
        <f t="array" ref="F32">BOPR(F11,F6,F7,F46,F52)</f>
        <v>0.99999042961543749</v>
      </c>
      <c r="H32" s="33"/>
    </row>
    <row r="33" spans="2:6" x14ac:dyDescent="0.35">
      <c r="B33" s="22" t="s">
        <v>71</v>
      </c>
      <c r="C33" s="34"/>
      <c r="D33" s="12">
        <f>D56</f>
        <v>0.95268091005019584</v>
      </c>
      <c r="E33" s="12">
        <f t="shared" ref="E33:F33" si="0">E56</f>
        <v>0.99856774775255119</v>
      </c>
      <c r="F33" s="54">
        <f t="shared" si="0"/>
        <v>0.99993803000157078</v>
      </c>
    </row>
    <row r="34" spans="2:6" x14ac:dyDescent="0.35">
      <c r="B34" s="22" t="s">
        <v>72</v>
      </c>
      <c r="C34" s="34"/>
      <c r="D34" s="12">
        <f>D54</f>
        <v>0.95</v>
      </c>
      <c r="E34" s="12">
        <f t="shared" ref="E34:F34" si="1">E54</f>
        <v>0.99730000000000008</v>
      </c>
      <c r="F34" s="54">
        <f t="shared" si="1"/>
        <v>0.99992999999999999</v>
      </c>
    </row>
    <row r="35" spans="2:6" x14ac:dyDescent="0.35">
      <c r="B35" s="22" t="s">
        <v>73</v>
      </c>
      <c r="C35" s="34"/>
      <c r="D35" s="13">
        <f>D59</f>
        <v>5.7317526594690138E-3</v>
      </c>
      <c r="E35" s="13">
        <f t="shared" ref="E35:F35" si="2">E59</f>
        <v>3.9236636901718303E-4</v>
      </c>
      <c r="F35" s="55">
        <f t="shared" si="2"/>
        <v>9.5703845631733842E-6</v>
      </c>
    </row>
    <row r="36" spans="2:6" x14ac:dyDescent="0.35">
      <c r="B36" s="22" t="s">
        <v>74</v>
      </c>
      <c r="C36" s="34"/>
      <c r="D36" s="13">
        <f>D56-D58</f>
        <v>8.4126627096648976E-3</v>
      </c>
      <c r="E36" s="13">
        <f t="shared" ref="E36:F36" si="3">E56-E58</f>
        <v>1.6601141215683013E-3</v>
      </c>
      <c r="F36" s="55">
        <f t="shared" si="3"/>
        <v>1.7600386133964641E-5</v>
      </c>
    </row>
    <row r="37" spans="2:6" x14ac:dyDescent="0.35">
      <c r="B37" s="22" t="s">
        <v>75</v>
      </c>
      <c r="C37" s="47" cm="1">
        <f t="array" ref="C37">SIGMA(C6,C31)</f>
        <v>1.9563952039886999E-2</v>
      </c>
      <c r="D37" s="41" cm="1">
        <f t="array" ref="D37">SIGMA(D6,D31)</f>
        <v>0.11280249427252391</v>
      </c>
      <c r="E37" s="41" cm="1">
        <f t="array" ref="E37">SIGMA(E6,E31)</f>
        <v>0.30154702896520047</v>
      </c>
      <c r="F37" s="56" cm="1">
        <f t="array" ref="F37">SIGMA(F6,F31)</f>
        <v>2.4194167356434848</v>
      </c>
    </row>
    <row r="38" spans="2:6" x14ac:dyDescent="0.35">
      <c r="B38" s="22" t="s">
        <v>76</v>
      </c>
      <c r="C38" s="34"/>
      <c r="D38" s="41"/>
      <c r="E38" s="41"/>
      <c r="F38" s="56"/>
    </row>
    <row r="39" spans="2:6" x14ac:dyDescent="0.35">
      <c r="B39" s="22" t="s">
        <v>29</v>
      </c>
      <c r="C39" s="34"/>
      <c r="D39" s="73">
        <f>D67*D20*D22</f>
        <v>6785.7534246575342</v>
      </c>
      <c r="E39" s="73">
        <f>E67*E20*E22</f>
        <v>3661.6120263949142</v>
      </c>
      <c r="F39" s="74">
        <f>F67*F20*F22</f>
        <v>169687.76144657534</v>
      </c>
    </row>
    <row r="40" spans="2:6" x14ac:dyDescent="0.35">
      <c r="B40" s="22" t="s">
        <v>32</v>
      </c>
      <c r="C40" s="34"/>
      <c r="D40" s="73">
        <f>D67*D63*D22*D21</f>
        <v>0</v>
      </c>
      <c r="E40" s="73">
        <f>E67*E63*E22*E21</f>
        <v>0</v>
      </c>
      <c r="F40" s="74">
        <f>F67*F63*F22*F21</f>
        <v>11.878143301262734</v>
      </c>
    </row>
    <row r="41" spans="2:6" x14ac:dyDescent="0.35">
      <c r="B41" s="22" t="s">
        <v>36</v>
      </c>
      <c r="C41" s="34"/>
      <c r="D41" s="73">
        <f>D67*D62*D23</f>
        <v>3816.9863013698664</v>
      </c>
      <c r="E41" s="73">
        <f>E67*E62*E23</f>
        <v>185.36910883623736</v>
      </c>
      <c r="F41" s="74">
        <f>F67*F62*F23</f>
        <v>0</v>
      </c>
    </row>
    <row r="42" spans="2:6" x14ac:dyDescent="0.35">
      <c r="B42" s="22" t="s">
        <v>77</v>
      </c>
      <c r="C42" s="34"/>
      <c r="D42" s="73">
        <f>SUM(D39:D41)</f>
        <v>10602.739726027401</v>
      </c>
      <c r="E42" s="73">
        <f t="shared" ref="E42:F42" si="4">SUM(E39:E41)</f>
        <v>3846.9811352311517</v>
      </c>
      <c r="F42" s="74">
        <f t="shared" si="4"/>
        <v>169699.63958987661</v>
      </c>
    </row>
    <row r="43" spans="2:6" ht="15" thickBot="1" x14ac:dyDescent="0.4">
      <c r="B43" s="23" t="s">
        <v>78</v>
      </c>
      <c r="C43" s="57"/>
      <c r="D43" s="75">
        <f>D66*D19</f>
        <v>10849.315068493153</v>
      </c>
      <c r="E43" s="75">
        <f>E66*E19</f>
        <v>3848.4631421656636</v>
      </c>
      <c r="F43" s="76">
        <f>F66*F19</f>
        <v>20548.089041095889</v>
      </c>
    </row>
    <row r="44" spans="2:6" x14ac:dyDescent="0.35">
      <c r="D44" s="33"/>
      <c r="E44" s="33"/>
      <c r="F44" s="33"/>
    </row>
    <row r="45" spans="2:6" ht="15" thickBot="1" x14ac:dyDescent="0.4">
      <c r="D45" s="33"/>
      <c r="E45" s="33"/>
      <c r="F45" s="33"/>
    </row>
    <row r="46" spans="2:6" x14ac:dyDescent="0.35">
      <c r="B46" s="35" t="s">
        <v>79</v>
      </c>
      <c r="C46" s="43">
        <f>C37</f>
        <v>1.9563952039886999E-2</v>
      </c>
      <c r="D46" s="14">
        <f>SQRT(SUMSQ(C37,D13,D14))</f>
        <v>1.9563952039886999E-2</v>
      </c>
      <c r="E46" s="14">
        <f>SQRT(SUMSQ(D37,E13,E14))</f>
        <v>0.11280249427252391</v>
      </c>
      <c r="F46" s="58">
        <f>SQRT(SUMSQ(E37,F13,F14))</f>
        <v>0.30154702896520047</v>
      </c>
    </row>
    <row r="47" spans="2:6" x14ac:dyDescent="0.35">
      <c r="B47" s="36" t="s">
        <v>80</v>
      </c>
      <c r="C47" s="44"/>
      <c r="D47" s="15" cm="1">
        <f t="array" ref="D47">SIGMA(D6,D10)</f>
        <v>0.12755336423116351</v>
      </c>
      <c r="E47" s="15" cm="1">
        <f t="array" ref="E47">SIGMA(E6,E10)</f>
        <v>0.33333588971922729</v>
      </c>
      <c r="F47" s="59" cm="1">
        <f t="array" ref="F47">SIGMA(F6,F10)</f>
        <v>2.5149097856707265</v>
      </c>
    </row>
    <row r="48" spans="2:6" x14ac:dyDescent="0.35">
      <c r="B48" s="36" t="s">
        <v>81</v>
      </c>
      <c r="C48" s="44"/>
      <c r="D48" s="15">
        <f>SQRT(D47^2-D46^2)</f>
        <v>0.12604408953722845</v>
      </c>
      <c r="E48" s="15">
        <f t="shared" ref="E48:F48" si="5">SQRT(E47^2-E46^2)</f>
        <v>0.3136692727393075</v>
      </c>
      <c r="F48" s="59">
        <f t="shared" si="5"/>
        <v>2.4967660321673395</v>
      </c>
    </row>
    <row r="49" spans="2:13" x14ac:dyDescent="0.35">
      <c r="B49" s="36" t="s">
        <v>82</v>
      </c>
      <c r="C49" s="44"/>
      <c r="D49" s="16" cm="1">
        <f t="array" ref="D49">BOPR(D11,D6,D7,D46,D48)</f>
        <v>0.9942682473405301</v>
      </c>
      <c r="E49" s="16" cm="1">
        <f t="array" ref="E49">BOPR(E11,E6,E7,E46,E48)</f>
        <v>0.99960763363098104</v>
      </c>
      <c r="F49" s="60" cm="1">
        <f t="array" ref="F49">BOPR(F11,F6,F7,F46,F48)</f>
        <v>0.99999042961543749</v>
      </c>
    </row>
    <row r="50" spans="2:13" x14ac:dyDescent="0.35">
      <c r="B50" s="36" t="s">
        <v>83</v>
      </c>
      <c r="C50" s="44"/>
      <c r="D50" s="16" cm="1">
        <f t="array" ref="D50">PH(0,D7,D48)</f>
        <v>0.95268091005019584</v>
      </c>
      <c r="E50" s="16" cm="1">
        <f t="array" ref="E50">PH(0,E7,E48)</f>
        <v>0.99856774775255119</v>
      </c>
      <c r="F50" s="60" cm="1">
        <f t="array" ref="F50">PH(0,F7,F48)</f>
        <v>0.99993803000157078</v>
      </c>
    </row>
    <row r="51" spans="2:13" x14ac:dyDescent="0.35">
      <c r="B51" s="36" t="str">
        <f>IF(D12="Exponential", "Exponential Model λ", "Random-Walk Model α")</f>
        <v>Exponential Model λ</v>
      </c>
      <c r="C51" s="44"/>
      <c r="D51" s="15" cm="1">
        <f t="array" ref="D51">IF(D12="Exponential", EXP_LAMB(D50,D49,D9), WALK_ALPHA(D9,D48,SIGMA(D6, D49)))</f>
        <v>0.17090806404638262</v>
      </c>
      <c r="E51" s="15" cm="1">
        <f t="array" ref="E51">IF(E12="Exponential", EXP_LAMB(E50,E49,E9), WALK_ALPHA(E9,E48,SIGMA(E6, E49)))</f>
        <v>3.1225378341492309E-3</v>
      </c>
      <c r="F51" s="59" cm="1">
        <f t="array" ref="F51">IF(F12="Exponential", EXP_LAMB(F50,F49,F9), WALK_ALPHA(F9,F48,SIGMA(F6, F49)))</f>
        <v>5.2401488290016665E-5</v>
      </c>
    </row>
    <row r="52" spans="2:13" x14ac:dyDescent="0.35">
      <c r="B52" s="36" t="s">
        <v>84</v>
      </c>
      <c r="C52" s="44"/>
      <c r="D52" s="17" cm="1">
        <f t="array" ref="D52">IF(D15="None",D48,IF(D15="EOPR Target", SIGMA(D6,D16), SIGMA_T(D12,D16,D6,D50,D46,D51)))</f>
        <v>0.12604408953722845</v>
      </c>
      <c r="E52" s="17" cm="1">
        <f t="array" ref="E52">IF(E15="None",E48,IF(E15="EOPR Target", SIGMA(E6,E16), SIGMA_T(E12,E16,E6,E50,E46,E51)))</f>
        <v>0.3136692727393075</v>
      </c>
      <c r="F52" s="61" cm="1">
        <f t="array" ref="F52">IF(F15="None",F48,IF(F15="EOPR Target", SIGMA(F6,F16), SIGMA_T(F12,F16,F6,F50,F46,F51)))</f>
        <v>2.4967660321673395</v>
      </c>
    </row>
    <row r="53" spans="2:13" x14ac:dyDescent="0.35">
      <c r="B53" s="36" t="s">
        <v>85</v>
      </c>
      <c r="C53" s="44"/>
      <c r="D53" s="15">
        <f>SQRT(D52^2+D46^2)</f>
        <v>0.12755336423116351</v>
      </c>
      <c r="E53" s="15">
        <f t="shared" ref="E53:F53" si="6">SQRT(E52^2+E46^2)</f>
        <v>0.33333588971922729</v>
      </c>
      <c r="F53" s="59">
        <f t="shared" si="6"/>
        <v>2.5149097856707265</v>
      </c>
    </row>
    <row r="54" spans="2:13" x14ac:dyDescent="0.35">
      <c r="B54" s="36" t="s">
        <v>86</v>
      </c>
      <c r="C54" s="44"/>
      <c r="D54" s="18" cm="1">
        <f t="array" ref="D54">PH(0, D6, D53)</f>
        <v>0.95</v>
      </c>
      <c r="E54" s="18" cm="1">
        <f t="array" ref="E54">PH(0, E6, E53)</f>
        <v>0.99730000000000008</v>
      </c>
      <c r="F54" s="62" cm="1">
        <f t="array" ref="F54">PH(0, F6, F53)</f>
        <v>0.99992999999999999</v>
      </c>
    </row>
    <row r="55" spans="2:13" x14ac:dyDescent="0.35">
      <c r="B55" s="36" t="s">
        <v>87</v>
      </c>
      <c r="C55" s="44"/>
      <c r="D55" s="18" cm="1">
        <f t="array" ref="D55">PH(0, D6, D52)</f>
        <v>0.95268091005019584</v>
      </c>
      <c r="E55" s="18" cm="1">
        <f t="array" ref="E55">PH(0, E6, E52)</f>
        <v>0.99856774775255119</v>
      </c>
      <c r="F55" s="62" cm="1">
        <f t="array" ref="F55">PH(0, F6, F52)</f>
        <v>0.99993803000157078</v>
      </c>
    </row>
    <row r="56" spans="2:13" x14ac:dyDescent="0.35">
      <c r="B56" s="36" t="s">
        <v>88</v>
      </c>
      <c r="C56" s="44"/>
      <c r="D56" s="18" cm="1">
        <f t="array" ref="D56">2*NORMCDF(D6/D52)-1</f>
        <v>0.95268091005019584</v>
      </c>
      <c r="E56" s="18" cm="1">
        <f t="array" ref="E56">2*NORMCDF(E6/E52)-1</f>
        <v>0.99856774775255119</v>
      </c>
      <c r="F56" s="62" cm="1">
        <f t="array" ref="F56">2*NORMCDF(F6/F52)-1</f>
        <v>0.99993803000157078</v>
      </c>
    </row>
    <row r="57" spans="2:13" x14ac:dyDescent="0.35">
      <c r="B57" s="36" t="s">
        <v>89</v>
      </c>
      <c r="C57" s="44"/>
      <c r="D57" s="18" cm="1">
        <f t="array" ref="D57">2*NORMCDF(D7/D53)-1</f>
        <v>0.95</v>
      </c>
      <c r="E57" s="18" cm="1">
        <f t="array" ref="E57">2*NORMCDF(E7/E53)-1</f>
        <v>0.99730000000000008</v>
      </c>
      <c r="F57" s="62" cm="1">
        <f t="array" ref="F57">2*NORMCDF(F7/F53)-1</f>
        <v>0.99992999999999999</v>
      </c>
      <c r="H57" s="33"/>
      <c r="I57" s="33"/>
      <c r="J57" s="33"/>
      <c r="K57" s="33"/>
      <c r="L57" s="33"/>
      <c r="M57" s="33"/>
    </row>
    <row r="58" spans="2:13" x14ac:dyDescent="0.35">
      <c r="B58" s="36" t="s">
        <v>90</v>
      </c>
      <c r="C58" s="44"/>
      <c r="D58" s="18" cm="1">
        <f t="array" ref="D58">P_EINA(D6,D7,D46,D52)</f>
        <v>0.94426824734053094</v>
      </c>
      <c r="E58" s="18" cm="1">
        <f t="array" ref="E58">P_EINA(E6,E7,E46,E52)</f>
        <v>0.99690763363098289</v>
      </c>
      <c r="F58" s="62" cm="1">
        <f t="array" ref="F58">P_EINA(F6,F7,F46,F52)</f>
        <v>0.99992042961543681</v>
      </c>
    </row>
    <row r="59" spans="2:13" x14ac:dyDescent="0.35">
      <c r="B59" s="36" t="s">
        <v>91</v>
      </c>
      <c r="C59" s="44"/>
      <c r="D59" s="18">
        <f>D57-D58</f>
        <v>5.7317526594690138E-3</v>
      </c>
      <c r="E59" s="18">
        <f t="shared" ref="E59:F59" si="7">E57-E58</f>
        <v>3.9236636901718303E-4</v>
      </c>
      <c r="F59" s="62">
        <f t="shared" si="7"/>
        <v>9.5703845631733842E-6</v>
      </c>
    </row>
    <row r="60" spans="2:13" x14ac:dyDescent="0.35">
      <c r="B60" s="36" t="s">
        <v>92</v>
      </c>
      <c r="C60" s="44"/>
      <c r="D60" s="18">
        <f>1-D58/D57</f>
        <v>6.0334238520726169E-3</v>
      </c>
      <c r="E60" s="18">
        <f t="shared" ref="E60:F60" si="8">1-E58/E57</f>
        <v>3.9342862630820097E-4</v>
      </c>
      <c r="F60" s="62">
        <f t="shared" si="8"/>
        <v>9.5710545370275568E-6</v>
      </c>
    </row>
    <row r="61" spans="2:13" x14ac:dyDescent="0.35">
      <c r="B61" s="36" t="s">
        <v>93</v>
      </c>
      <c r="C61" s="44"/>
      <c r="D61" s="18" cm="1">
        <f t="array" ref="D61">PH(0,D7,D53)</f>
        <v>0.95</v>
      </c>
      <c r="E61" s="18" cm="1">
        <f t="array" ref="E61">PH(0,E7,E53)</f>
        <v>0.99730000000000008</v>
      </c>
      <c r="F61" s="62" cm="1">
        <f t="array" ref="F61">PH(0,F7,F53)</f>
        <v>0.99992999999999999</v>
      </c>
    </row>
    <row r="62" spans="2:13" x14ac:dyDescent="0.35">
      <c r="B62" s="36" t="s">
        <v>94</v>
      </c>
      <c r="C62" s="44"/>
      <c r="D62" s="18" cm="1">
        <f t="array" ref="D62">1-PH(0,D8,D53)</f>
        <v>5.0000000000000044E-2</v>
      </c>
      <c r="E62" s="18" cm="1">
        <f t="array" ref="E62">1-PH(0,E8,E53)</f>
        <v>2.6999999999999247E-3</v>
      </c>
      <c r="F62" s="62" cm="1">
        <f t="array" ref="F62">1-PH(0,F8,F53)</f>
        <v>0</v>
      </c>
    </row>
    <row r="63" spans="2:13" x14ac:dyDescent="0.35">
      <c r="B63" s="36" t="s">
        <v>95</v>
      </c>
      <c r="C63" s="44"/>
      <c r="D63" s="18">
        <f>(1-D61)-D62</f>
        <v>0</v>
      </c>
      <c r="E63" s="18">
        <f t="shared" ref="E63:F63" si="9">(1-E61)-E62</f>
        <v>0</v>
      </c>
      <c r="F63" s="62">
        <f t="shared" si="9"/>
        <v>7.0000000000014495E-5</v>
      </c>
    </row>
    <row r="64" spans="2:13" x14ac:dyDescent="0.35">
      <c r="B64" s="36" t="s">
        <v>96</v>
      </c>
      <c r="C64" s="44"/>
      <c r="D64" s="18">
        <f>D62+D63</f>
        <v>5.0000000000000044E-2</v>
      </c>
      <c r="E64" s="18">
        <f t="shared" ref="E64:F64" si="10">E62+E63</f>
        <v>2.6999999999999247E-3</v>
      </c>
      <c r="F64" s="62">
        <f t="shared" si="10"/>
        <v>7.0000000000014495E-5</v>
      </c>
    </row>
    <row r="65" spans="2:6" x14ac:dyDescent="0.35">
      <c r="B65" s="36" t="s">
        <v>97</v>
      </c>
      <c r="C65" s="38"/>
      <c r="D65" s="48">
        <f>D24+D25*D63+D26*D62</f>
        <v>5.5000000000000018</v>
      </c>
      <c r="E65" s="48">
        <f>E24+E25*E63+E26*E62</f>
        <v>2.0809999999999977</v>
      </c>
      <c r="F65" s="63">
        <f>F24+F25*F63+F26*F62</f>
        <v>30.000209999999999</v>
      </c>
    </row>
    <row r="66" spans="2:6" x14ac:dyDescent="0.35">
      <c r="B66" s="36" t="s">
        <v>98</v>
      </c>
      <c r="C66" s="38"/>
      <c r="D66" s="25">
        <f>(D65/(D30*365)*D18*D27)</f>
        <v>0.12054794520547948</v>
      </c>
      <c r="E66" s="25">
        <f>(E65/(E30*365)*E18*E27)</f>
        <v>5.131284189554218E-2</v>
      </c>
      <c r="F66" s="64">
        <f>(F65/(F30*365)*F18*F27)</f>
        <v>8.2192356164383557E-2</v>
      </c>
    </row>
    <row r="67" spans="2:6" ht="15" thickBot="1" x14ac:dyDescent="0.4">
      <c r="B67" s="37" t="s">
        <v>99</v>
      </c>
      <c r="C67" s="65"/>
      <c r="D67" s="66">
        <f>(D18+D66)/D30</f>
        <v>8.4821917808219176</v>
      </c>
      <c r="E67" s="66">
        <f>(E18+E66)/E30</f>
        <v>9.1540300659872855</v>
      </c>
      <c r="F67" s="67">
        <f>(F18+F66)/F30</f>
        <v>1.0821923561643836</v>
      </c>
    </row>
  </sheetData>
  <mergeCells count="4">
    <mergeCell ref="H2:I2"/>
    <mergeCell ref="K2:L2"/>
    <mergeCell ref="B17:F17"/>
    <mergeCell ref="B29:F29"/>
  </mergeCells>
  <dataValidations count="3">
    <dataValidation type="list" allowBlank="1" showInputMessage="1" showErrorMessage="1" sqref="D11:F11" xr:uid="{32EC6E8B-8617-45D7-B776-A35715CA6822}">
      <formula1>RenewalPolicies</formula1>
    </dataValidation>
    <dataValidation type="list" allowBlank="1" showInputMessage="1" showErrorMessage="1" sqref="D12:F12" xr:uid="{2A5147FD-DE3D-432B-B159-AA1715E8728E}">
      <formula1>ReliabilityModels</formula1>
    </dataValidation>
    <dataValidation type="list" allowBlank="1" showInputMessage="1" showErrorMessage="1" sqref="D15:F15" xr:uid="{E53A2EF1-075E-4DBE-A3FF-3A9E8E73DDFB}">
      <formula1>TrialIntervals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38711-DE2B-4C86-84C9-2DE70131EA19}">
  <dimension ref="B1:Q69"/>
  <sheetViews>
    <sheetView showGridLines="0" zoomScaleNormal="100" workbookViewId="0"/>
  </sheetViews>
  <sheetFormatPr defaultColWidth="9.1796875" defaultRowHeight="14.5" x14ac:dyDescent="0.35"/>
  <cols>
    <col min="1" max="1" width="4.453125" style="28" customWidth="1"/>
    <col min="2" max="2" width="29.26953125" style="31" customWidth="1"/>
    <col min="3" max="3" width="11.81640625" style="32" customWidth="1"/>
    <col min="4" max="4" width="15.81640625" style="28" customWidth="1"/>
    <col min="5" max="5" width="14.453125" style="28" customWidth="1"/>
    <col min="6" max="6" width="15.81640625" style="28" customWidth="1"/>
    <col min="7" max="7" width="4" style="28" customWidth="1"/>
    <col min="8" max="8" width="23.81640625" style="28" customWidth="1"/>
    <col min="9" max="9" width="15.54296875" style="28" customWidth="1"/>
    <col min="10" max="10" width="4.453125" style="28" customWidth="1"/>
    <col min="11" max="11" width="23.1796875" style="28" customWidth="1"/>
    <col min="12" max="12" width="15.81640625" style="28" customWidth="1"/>
    <col min="13" max="13" width="3.26953125" style="28" customWidth="1"/>
    <col min="14" max="15" width="9.1796875" style="28"/>
    <col min="16" max="17" width="12" style="28" bestFit="1" customWidth="1"/>
    <col min="18" max="16384" width="9.1796875" style="28"/>
  </cols>
  <sheetData>
    <row r="1" spans="2:17" ht="15" thickBot="1" x14ac:dyDescent="0.4"/>
    <row r="2" spans="2:17" ht="29" x14ac:dyDescent="0.35">
      <c r="B2" s="101"/>
      <c r="C2" s="68" t="s">
        <v>18</v>
      </c>
      <c r="D2" s="68" t="s">
        <v>19</v>
      </c>
      <c r="E2" s="68" t="s">
        <v>20</v>
      </c>
      <c r="F2" s="69" t="s">
        <v>21</v>
      </c>
      <c r="H2" s="112" t="s">
        <v>22</v>
      </c>
      <c r="I2" s="113"/>
      <c r="K2" s="114" t="s">
        <v>23</v>
      </c>
      <c r="L2" s="115"/>
    </row>
    <row r="3" spans="2:17" ht="16.5" customHeight="1" x14ac:dyDescent="0.35">
      <c r="B3" s="20" t="s">
        <v>24</v>
      </c>
      <c r="C3" s="70" t="s">
        <v>25</v>
      </c>
      <c r="D3" s="6" t="s">
        <v>100</v>
      </c>
      <c r="E3" s="6" t="s">
        <v>101</v>
      </c>
      <c r="F3" s="9" t="s">
        <v>7</v>
      </c>
      <c r="H3" s="20" t="s">
        <v>28</v>
      </c>
      <c r="I3" s="78">
        <v>32000000</v>
      </c>
      <c r="J3" s="39"/>
      <c r="K3" s="2" t="s">
        <v>29</v>
      </c>
      <c r="L3" s="74">
        <f>SUM(D39:F39)</f>
        <v>120245.94</v>
      </c>
    </row>
    <row r="4" spans="2:17" x14ac:dyDescent="0.35">
      <c r="B4" s="20" t="s">
        <v>30</v>
      </c>
      <c r="C4" s="45">
        <v>0</v>
      </c>
      <c r="D4" s="6">
        <v>0</v>
      </c>
      <c r="E4" s="6">
        <v>0</v>
      </c>
      <c r="F4" s="9">
        <v>0</v>
      </c>
      <c r="H4" s="20" t="s">
        <v>31</v>
      </c>
      <c r="I4" s="1">
        <v>4.4999999999999998E-2</v>
      </c>
      <c r="J4" s="33"/>
      <c r="K4" s="2" t="s">
        <v>32</v>
      </c>
      <c r="L4" s="74">
        <f>SUM(D40:F40)</f>
        <v>0</v>
      </c>
    </row>
    <row r="5" spans="2:17" x14ac:dyDescent="0.35">
      <c r="B5" s="20" t="s">
        <v>33</v>
      </c>
      <c r="C5" s="45" t="s">
        <v>102</v>
      </c>
      <c r="D5" s="45" t="s">
        <v>102</v>
      </c>
      <c r="E5" s="45" t="s">
        <v>102</v>
      </c>
      <c r="F5" s="83" t="s">
        <v>102</v>
      </c>
      <c r="H5" s="20" t="s">
        <v>35</v>
      </c>
      <c r="I5" s="1">
        <v>5.5E-2</v>
      </c>
      <c r="J5" s="33"/>
      <c r="K5" s="2" t="s">
        <v>36</v>
      </c>
      <c r="L5" s="74">
        <f>SUM(D41:F41)</f>
        <v>45591.29339178087</v>
      </c>
      <c r="Q5" s="29"/>
    </row>
    <row r="6" spans="2:17" x14ac:dyDescent="0.35">
      <c r="B6" s="20" t="s">
        <v>37</v>
      </c>
      <c r="C6" s="19">
        <v>2E-3</v>
      </c>
      <c r="D6" s="6">
        <v>2E-3</v>
      </c>
      <c r="E6" s="6">
        <v>0.01</v>
      </c>
      <c r="F6" s="9">
        <v>0.05</v>
      </c>
      <c r="H6" s="20" t="s">
        <v>38</v>
      </c>
      <c r="I6" s="79">
        <v>0.02</v>
      </c>
      <c r="J6" s="33"/>
      <c r="K6" s="2" t="s">
        <v>39</v>
      </c>
      <c r="L6" s="74">
        <f>SUM(D42:F42)</f>
        <v>165837.23339178087</v>
      </c>
      <c r="Q6" s="29"/>
    </row>
    <row r="7" spans="2:17" ht="15" thickBot="1" x14ac:dyDescent="0.4">
      <c r="B7" s="20" t="s">
        <v>40</v>
      </c>
      <c r="C7" s="45"/>
      <c r="D7" s="6">
        <v>2E-3</v>
      </c>
      <c r="E7" s="6">
        <v>0.01</v>
      </c>
      <c r="F7" s="9">
        <v>0.05</v>
      </c>
      <c r="H7" s="21" t="s">
        <v>41</v>
      </c>
      <c r="I7" s="52">
        <v>0.99990000000000001</v>
      </c>
      <c r="J7" s="40"/>
      <c r="K7" s="2" t="s">
        <v>42</v>
      </c>
      <c r="L7" s="74">
        <f>SUM(D43:F43)</f>
        <v>473896.57534246577</v>
      </c>
      <c r="Q7" s="29"/>
    </row>
    <row r="8" spans="2:17" x14ac:dyDescent="0.35">
      <c r="B8" s="20" t="s">
        <v>43</v>
      </c>
      <c r="C8" s="45"/>
      <c r="D8" s="6">
        <v>2E-3</v>
      </c>
      <c r="E8" s="6">
        <v>0.01</v>
      </c>
      <c r="F8" s="9">
        <v>0.05</v>
      </c>
      <c r="J8" s="40"/>
      <c r="K8" s="2"/>
      <c r="L8" s="74"/>
      <c r="Q8" s="29"/>
    </row>
    <row r="9" spans="2:17" x14ac:dyDescent="0.35">
      <c r="B9" s="20" t="s">
        <v>44</v>
      </c>
      <c r="C9" s="45"/>
      <c r="D9" s="6">
        <v>0.25</v>
      </c>
      <c r="E9" s="80">
        <f>10/12</f>
        <v>0.83333333333333337</v>
      </c>
      <c r="F9" s="9">
        <v>0.25</v>
      </c>
      <c r="K9" s="2" t="s">
        <v>45</v>
      </c>
      <c r="L9" s="74">
        <f>(1-L10)*I6*I3*F18</f>
        <v>6186597.1269524209</v>
      </c>
      <c r="Q9" s="29"/>
    </row>
    <row r="10" spans="2:17" x14ac:dyDescent="0.35">
      <c r="B10" s="20" t="s">
        <v>46</v>
      </c>
      <c r="C10" s="46">
        <v>0.999</v>
      </c>
      <c r="D10" s="24">
        <v>0.93640000000000001</v>
      </c>
      <c r="E10" s="24">
        <v>0.97750000000000004</v>
      </c>
      <c r="F10" s="49">
        <v>0.95</v>
      </c>
      <c r="K10" s="2" t="s">
        <v>47</v>
      </c>
      <c r="L10" s="77" cm="1">
        <f t="array" ref="L10">P_SUCCESS(F30,F12,F6,F8,F32,F53,I7,I4,I5,25,25)</f>
        <v>0.97583360497284211</v>
      </c>
    </row>
    <row r="11" spans="2:17" ht="15" thickBot="1" x14ac:dyDescent="0.4">
      <c r="B11" s="20" t="s">
        <v>48</v>
      </c>
      <c r="C11" s="45"/>
      <c r="D11" s="6" t="s">
        <v>49</v>
      </c>
      <c r="E11" s="6" t="s">
        <v>49</v>
      </c>
      <c r="F11" s="9" t="s">
        <v>49</v>
      </c>
      <c r="K11" s="4" t="s">
        <v>50</v>
      </c>
      <c r="L11" s="76">
        <f>L6+L9</f>
        <v>6352434.3603442013</v>
      </c>
    </row>
    <row r="12" spans="2:17" x14ac:dyDescent="0.35">
      <c r="B12" s="20" t="s">
        <v>51</v>
      </c>
      <c r="C12" s="45"/>
      <c r="D12" s="6" t="s">
        <v>103</v>
      </c>
      <c r="E12" s="6" t="s">
        <v>103</v>
      </c>
      <c r="F12" s="9" t="s">
        <v>103</v>
      </c>
    </row>
    <row r="13" spans="2:17" x14ac:dyDescent="0.35">
      <c r="B13" s="20" t="s">
        <v>53</v>
      </c>
      <c r="C13" s="45"/>
      <c r="D13" s="82">
        <f>0.002/2/SQRT(3)</f>
        <v>5.773502691896258E-4</v>
      </c>
      <c r="E13" s="82">
        <f>0.0053/2/SQRT(3)</f>
        <v>1.5299782133525084E-3</v>
      </c>
      <c r="F13" s="84">
        <f>0.0265/2/SQRT(3)</f>
        <v>7.6498910667625415E-3</v>
      </c>
      <c r="H13" s="28" t="s">
        <v>104</v>
      </c>
    </row>
    <row r="14" spans="2:17" x14ac:dyDescent="0.35">
      <c r="B14" s="20" t="s">
        <v>53</v>
      </c>
      <c r="C14" s="45"/>
      <c r="D14" s="5">
        <v>0</v>
      </c>
      <c r="E14" s="5">
        <f>0.0017/2</f>
        <v>8.4999999999999995E-4</v>
      </c>
      <c r="F14" s="1">
        <f>0.0046/2</f>
        <v>2.3E-3</v>
      </c>
    </row>
    <row r="15" spans="2:17" x14ac:dyDescent="0.35">
      <c r="B15" s="20" t="s">
        <v>54</v>
      </c>
      <c r="C15" s="45"/>
      <c r="D15" s="6" t="s">
        <v>55</v>
      </c>
      <c r="E15" s="6" t="s">
        <v>55</v>
      </c>
      <c r="F15" s="9" t="s">
        <v>55</v>
      </c>
    </row>
    <row r="16" spans="2:17" x14ac:dyDescent="0.35">
      <c r="B16" s="20" t="str">
        <f>IF(D15="None", "-", IF(D15="EOPR Target", "Desired EOPR", "New Interval"))</f>
        <v>-</v>
      </c>
      <c r="C16" s="45"/>
      <c r="D16" s="7">
        <v>0.9</v>
      </c>
      <c r="E16" s="7">
        <v>0.9</v>
      </c>
      <c r="F16" s="50">
        <v>0.9</v>
      </c>
    </row>
    <row r="17" spans="2:8" x14ac:dyDescent="0.35">
      <c r="B17" s="116" t="s">
        <v>56</v>
      </c>
      <c r="C17" s="117"/>
      <c r="D17" s="117"/>
      <c r="E17" s="117"/>
      <c r="F17" s="118"/>
    </row>
    <row r="18" spans="2:8" x14ac:dyDescent="0.35">
      <c r="B18" s="20" t="s">
        <v>57</v>
      </c>
      <c r="C18" s="45"/>
      <c r="D18" s="5">
        <v>75</v>
      </c>
      <c r="E18" s="5">
        <v>75</v>
      </c>
      <c r="F18" s="1">
        <v>400</v>
      </c>
    </row>
    <row r="19" spans="2:8" x14ac:dyDescent="0.35">
      <c r="B19" s="20" t="s">
        <v>58</v>
      </c>
      <c r="C19" s="45"/>
      <c r="D19" s="72">
        <v>175000</v>
      </c>
      <c r="E19" s="72">
        <v>75000</v>
      </c>
      <c r="F19" s="78">
        <v>3500</v>
      </c>
    </row>
    <row r="20" spans="2:8" x14ac:dyDescent="0.35">
      <c r="B20" s="20" t="s">
        <v>59</v>
      </c>
      <c r="C20" s="45"/>
      <c r="D20" s="5">
        <v>5</v>
      </c>
      <c r="E20" s="5">
        <v>0.5</v>
      </c>
      <c r="F20" s="1">
        <v>0.5</v>
      </c>
    </row>
    <row r="21" spans="2:8" x14ac:dyDescent="0.35">
      <c r="B21" s="20" t="s">
        <v>60</v>
      </c>
      <c r="C21" s="45"/>
      <c r="D21" s="5">
        <v>0</v>
      </c>
      <c r="E21" s="5">
        <v>0</v>
      </c>
      <c r="F21" s="1">
        <v>0</v>
      </c>
    </row>
    <row r="22" spans="2:8" x14ac:dyDescent="0.35">
      <c r="B22" s="20" t="s">
        <v>61</v>
      </c>
      <c r="C22" s="45"/>
      <c r="D22" s="72">
        <v>50</v>
      </c>
      <c r="E22" s="72">
        <v>50</v>
      </c>
      <c r="F22" s="78">
        <v>50</v>
      </c>
    </row>
    <row r="23" spans="2:8" x14ac:dyDescent="0.35">
      <c r="B23" s="20" t="s">
        <v>62</v>
      </c>
      <c r="C23" s="45"/>
      <c r="D23" s="72">
        <v>1000</v>
      </c>
      <c r="E23" s="72">
        <v>800</v>
      </c>
      <c r="F23" s="78">
        <v>300</v>
      </c>
    </row>
    <row r="24" spans="2:8" x14ac:dyDescent="0.35">
      <c r="B24" s="20" t="s">
        <v>63</v>
      </c>
      <c r="C24" s="45"/>
      <c r="D24" s="5">
        <v>30</v>
      </c>
      <c r="E24" s="5">
        <v>0.2</v>
      </c>
      <c r="F24" s="1">
        <v>0.5</v>
      </c>
    </row>
    <row r="25" spans="2:8" x14ac:dyDescent="0.35">
      <c r="B25" s="20" t="s">
        <v>64</v>
      </c>
      <c r="C25" s="45"/>
      <c r="D25" s="5">
        <v>0</v>
      </c>
      <c r="E25" s="5">
        <v>0</v>
      </c>
      <c r="F25" s="1">
        <v>0</v>
      </c>
    </row>
    <row r="26" spans="2:8" x14ac:dyDescent="0.35">
      <c r="B26" s="20" t="s">
        <v>65</v>
      </c>
      <c r="C26" s="45"/>
      <c r="D26" s="5">
        <v>30</v>
      </c>
      <c r="E26" s="5">
        <v>14</v>
      </c>
      <c r="F26" s="1">
        <v>7</v>
      </c>
    </row>
    <row r="27" spans="2:8" ht="15" thickBot="1" x14ac:dyDescent="0.4">
      <c r="B27" s="21" t="s">
        <v>66</v>
      </c>
      <c r="C27" s="51"/>
      <c r="D27" s="8">
        <v>0.1</v>
      </c>
      <c r="E27" s="8">
        <v>0.2</v>
      </c>
      <c r="F27" s="52">
        <v>1</v>
      </c>
    </row>
    <row r="28" spans="2:8" ht="15" thickBot="1" x14ac:dyDescent="0.4">
      <c r="D28" s="33"/>
      <c r="E28" s="33"/>
      <c r="F28" s="33"/>
    </row>
    <row r="29" spans="2:8" x14ac:dyDescent="0.35">
      <c r="B29" s="114" t="s">
        <v>67</v>
      </c>
      <c r="C29" s="119"/>
      <c r="D29" s="119"/>
      <c r="E29" s="119"/>
      <c r="F29" s="115"/>
      <c r="H29" s="33"/>
    </row>
    <row r="30" spans="2:8" x14ac:dyDescent="0.35">
      <c r="B30" s="22" t="s">
        <v>68</v>
      </c>
      <c r="C30" s="34"/>
      <c r="D30" s="11" cm="1">
        <f t="array" ref="D30">TEST_INTERVAL(D15,D12,D9,D6,D52,D51,D16,D32,D53)</f>
        <v>0.25</v>
      </c>
      <c r="E30" s="11" cm="1">
        <f t="array" ref="E30">TEST_INTERVAL(E15,E12,E9,E6,E52,E51,E16,E32,E53)</f>
        <v>0.83333333333333337</v>
      </c>
      <c r="F30" s="3" cm="1">
        <f t="array" ref="F30">TEST_INTERVAL(F15,F12,F9,F6,F52,F51,F16,F32,F53)</f>
        <v>0.25</v>
      </c>
      <c r="H30" s="31"/>
    </row>
    <row r="31" spans="2:8" x14ac:dyDescent="0.35">
      <c r="B31" s="22" t="s">
        <v>69</v>
      </c>
      <c r="C31" s="42">
        <f>C10</f>
        <v>0.999</v>
      </c>
      <c r="D31" s="10" cm="1">
        <f t="array" ref="D31">AOPR(D12,D6,D32,D30,D53)</f>
        <v>0.99723090586561858</v>
      </c>
      <c r="E31" s="10" cm="1">
        <f t="array" ref="E31">AOPR(E12,E6,E32,E30,E53)</f>
        <v>0.99320104408260801</v>
      </c>
      <c r="F31" s="53" cm="1">
        <f t="array" ref="F31">AOPR(F12,F6,F32,F30,F53)</f>
        <v>0.97926159007085944</v>
      </c>
      <c r="H31" s="31"/>
    </row>
    <row r="32" spans="2:8" x14ac:dyDescent="0.35">
      <c r="B32" s="22" t="s">
        <v>70</v>
      </c>
      <c r="C32" s="34"/>
      <c r="D32" s="10" cm="1">
        <f t="array" ref="D32">BOPR(D11,D6,D7,D48,D54)</f>
        <v>0.99760808815746127</v>
      </c>
      <c r="E32" s="10" cm="1">
        <f t="array" ref="E32">BOPR(E11,E6,E7,E48,E54)</f>
        <v>0.99666740222367034</v>
      </c>
      <c r="F32" s="53" cm="1">
        <f t="array" ref="F32">BOPR(F11,F6,F7,F48,F54)</f>
        <v>0.99145687929234794</v>
      </c>
      <c r="H32" s="33"/>
    </row>
    <row r="33" spans="2:6" x14ac:dyDescent="0.35">
      <c r="B33" s="22" t="s">
        <v>71</v>
      </c>
      <c r="C33" s="34"/>
      <c r="D33" s="12">
        <f>D58</f>
        <v>0.99681966435154434</v>
      </c>
      <c r="E33" s="12">
        <f t="shared" ref="E33:F33" si="0">E58</f>
        <v>0.98840044881546629</v>
      </c>
      <c r="F33" s="54">
        <f t="shared" si="0"/>
        <v>0.96321790348403402</v>
      </c>
    </row>
    <row r="34" spans="2:6" x14ac:dyDescent="0.35">
      <c r="B34" s="22" t="s">
        <v>72</v>
      </c>
      <c r="C34" s="34"/>
      <c r="D34" s="12">
        <f>D56</f>
        <v>0.9363999999999999</v>
      </c>
      <c r="E34" s="12">
        <f t="shared" ref="E34:F34" si="1">E56</f>
        <v>0.97750000000000004</v>
      </c>
      <c r="F34" s="54">
        <f t="shared" si="1"/>
        <v>0.95</v>
      </c>
    </row>
    <row r="35" spans="2:6" x14ac:dyDescent="0.35">
      <c r="B35" s="22" t="s">
        <v>73</v>
      </c>
      <c r="C35" s="34"/>
      <c r="D35" s="13">
        <f>D61</f>
        <v>1.3079134346068999E-3</v>
      </c>
      <c r="E35" s="13">
        <f t="shared" ref="E35:F35" si="2">E61</f>
        <v>3.332595656546089E-3</v>
      </c>
      <c r="F35" s="55">
        <f t="shared" si="2"/>
        <v>8.5431200381353989E-3</v>
      </c>
    </row>
    <row r="36" spans="2:6" x14ac:dyDescent="0.35">
      <c r="B36" s="22" t="s">
        <v>74</v>
      </c>
      <c r="C36" s="34"/>
      <c r="D36" s="13">
        <f>D58-D60</f>
        <v>6.1727577786151344E-2</v>
      </c>
      <c r="E36" s="13">
        <f t="shared" ref="E36:F36" si="3">E58-E60</f>
        <v>1.4233044472012346E-2</v>
      </c>
      <c r="F36" s="55">
        <f t="shared" si="3"/>
        <v>2.1761023522169465E-2</v>
      </c>
    </row>
    <row r="37" spans="2:6" x14ac:dyDescent="0.35">
      <c r="B37" s="22" t="s">
        <v>75</v>
      </c>
      <c r="C37" s="47" cm="1">
        <f t="array" ref="C37">SIGMA(C6,C31)</f>
        <v>6.0780542545332849E-4</v>
      </c>
      <c r="D37" s="41" cm="1">
        <f t="array" ref="D37">SIGMA(D6,D31)</f>
        <v>6.6838843299710032E-4</v>
      </c>
      <c r="E37" s="41" cm="1">
        <f t="array" ref="E37">SIGMA(E6,E31)</f>
        <v>3.694761973891313E-3</v>
      </c>
      <c r="F37" s="56" cm="1">
        <f t="array" ref="F37">SIGMA(F6,F31)</f>
        <v>2.1619627922066939E-2</v>
      </c>
    </row>
    <row r="38" spans="2:6" x14ac:dyDescent="0.35">
      <c r="B38" s="22" t="s">
        <v>76</v>
      </c>
      <c r="C38" s="34"/>
      <c r="D38" s="41"/>
      <c r="E38" s="41"/>
      <c r="F38" s="56"/>
    </row>
    <row r="39" spans="2:6" x14ac:dyDescent="0.35">
      <c r="B39" s="22" t="s">
        <v>29</v>
      </c>
      <c r="C39" s="34"/>
      <c r="D39" s="73">
        <f>D69*D20*D22</f>
        <v>77622.57534246576</v>
      </c>
      <c r="E39" s="73">
        <f>E69*E20*E22</f>
        <v>2250.7619178082191</v>
      </c>
      <c r="F39" s="74">
        <f>F69*F20*F22</f>
        <v>40372.602739726026</v>
      </c>
    </row>
    <row r="40" spans="2:6" x14ac:dyDescent="0.35">
      <c r="B40" s="22" t="s">
        <v>32</v>
      </c>
      <c r="C40" s="34"/>
      <c r="D40" s="73">
        <f>D69*D65*D22*D21</f>
        <v>0</v>
      </c>
      <c r="E40" s="73">
        <f>E69*E65*E22*E21</f>
        <v>0</v>
      </c>
      <c r="F40" s="74">
        <f>F69*F65*F22*F21</f>
        <v>0</v>
      </c>
    </row>
    <row r="41" spans="2:6" x14ac:dyDescent="0.35">
      <c r="B41" s="22" t="s">
        <v>36</v>
      </c>
      <c r="C41" s="34"/>
      <c r="D41" s="73">
        <f>D69*D64*D23</f>
        <v>19747.183167123316</v>
      </c>
      <c r="E41" s="73">
        <f>E69*E64*E23</f>
        <v>1620.548580821915</v>
      </c>
      <c r="F41" s="74">
        <f>F69*F64*F23</f>
        <v>24223.561643835637</v>
      </c>
    </row>
    <row r="42" spans="2:6" x14ac:dyDescent="0.35">
      <c r="B42" s="22" t="s">
        <v>77</v>
      </c>
      <c r="C42" s="34"/>
      <c r="D42" s="73">
        <f>SUM(D39:D41)</f>
        <v>97369.758509589068</v>
      </c>
      <c r="E42" s="73">
        <f t="shared" ref="E42:F42" si="4">SUM(E39:E41)</f>
        <v>3871.3104986301341</v>
      </c>
      <c r="F42" s="74">
        <f t="shared" si="4"/>
        <v>64596.164383561663</v>
      </c>
    </row>
    <row r="43" spans="2:6" ht="15" thickBot="1" x14ac:dyDescent="0.4">
      <c r="B43" s="23" t="s">
        <v>78</v>
      </c>
      <c r="C43" s="57"/>
      <c r="D43" s="75">
        <f>D68*D19</f>
        <v>458950.68493150687</v>
      </c>
      <c r="E43" s="75">
        <f>E68*E19</f>
        <v>1904.7945205479434</v>
      </c>
      <c r="F43" s="76">
        <f>F68*F19</f>
        <v>13041.095890410963</v>
      </c>
    </row>
    <row r="44" spans="2:6" x14ac:dyDescent="0.35">
      <c r="D44" s="33"/>
      <c r="E44" s="33"/>
      <c r="F44" s="33"/>
    </row>
    <row r="45" spans="2:6" x14ac:dyDescent="0.35">
      <c r="D45" s="33"/>
      <c r="E45" s="33"/>
      <c r="F45" s="33"/>
    </row>
    <row r="46" spans="2:6" x14ac:dyDescent="0.35">
      <c r="D46" s="33"/>
      <c r="E46" s="33"/>
      <c r="F46" s="33"/>
    </row>
    <row r="47" spans="2:6" ht="15" thickBot="1" x14ac:dyDescent="0.4">
      <c r="D47" s="33"/>
      <c r="E47" s="33"/>
      <c r="F47" s="33"/>
    </row>
    <row r="48" spans="2:6" x14ac:dyDescent="0.35">
      <c r="B48" s="35" t="s">
        <v>79</v>
      </c>
      <c r="C48" s="43">
        <f>C37</f>
        <v>6.0780542545332849E-4</v>
      </c>
      <c r="D48" s="14">
        <f>SQRT(SUMSQ(C37,D13,D14))</f>
        <v>8.3830827774979957E-4</v>
      </c>
      <c r="E48" s="14">
        <f>SQRT(SUMSQ(D37,E13,E14))</f>
        <v>1.8735197972526612E-3</v>
      </c>
      <c r="F48" s="58">
        <f>SQRT(SUMSQ(E37,F13,F14))</f>
        <v>8.801255556853611E-3</v>
      </c>
    </row>
    <row r="49" spans="2:13" x14ac:dyDescent="0.35">
      <c r="B49" s="36" t="s">
        <v>80</v>
      </c>
      <c r="C49" s="44"/>
      <c r="D49" s="15" cm="1">
        <f t="array" ref="D49">SIGMA(D6,D10)</f>
        <v>1.0781824741695545E-3</v>
      </c>
      <c r="E49" s="15" cm="1">
        <f t="array" ref="E49">SIGMA(E6,E10)</f>
        <v>4.3824676193773846E-3</v>
      </c>
      <c r="F49" s="59" cm="1">
        <f t="array" ref="F49">SIGMA(F6,F10)</f>
        <v>2.5510672846232704E-2</v>
      </c>
    </row>
    <row r="50" spans="2:13" x14ac:dyDescent="0.35">
      <c r="B50" s="36" t="s">
        <v>81</v>
      </c>
      <c r="C50" s="44"/>
      <c r="D50" s="15">
        <f>SQRT(D49^2-D48^2)</f>
        <v>6.7802409917535158E-4</v>
      </c>
      <c r="E50" s="15">
        <f t="shared" ref="E50:F50" si="5">SQRT(E49^2-E48^2)</f>
        <v>3.9618109500825036E-3</v>
      </c>
      <c r="F50" s="59">
        <f t="shared" si="5"/>
        <v>2.3944359036952065E-2</v>
      </c>
    </row>
    <row r="51" spans="2:13" x14ac:dyDescent="0.35">
      <c r="B51" s="36" t="s">
        <v>82</v>
      </c>
      <c r="C51" s="44"/>
      <c r="D51" s="16" cm="1">
        <f t="array" ref="D51">BOPR(D11,D6,D7,D48,D50)</f>
        <v>0.99760808815746127</v>
      </c>
      <c r="E51" s="16" cm="1">
        <f t="array" ref="E51">BOPR(E11,E6,E7,E48,E50)</f>
        <v>0.99666740222367034</v>
      </c>
      <c r="F51" s="60" cm="1">
        <f t="array" ref="F51">BOPR(F11,F6,F7,F48,F50)</f>
        <v>0.99145687929234794</v>
      </c>
    </row>
    <row r="52" spans="2:13" x14ac:dyDescent="0.35">
      <c r="B52" s="36" t="s">
        <v>83</v>
      </c>
      <c r="C52" s="44"/>
      <c r="D52" s="16" cm="1">
        <f t="array" ref="D52">PH(0,D7,D50)</f>
        <v>0.99681966435154434</v>
      </c>
      <c r="E52" s="16" cm="1">
        <f t="array" ref="E52">PH(0,E7,E50)</f>
        <v>0.98840044881546629</v>
      </c>
      <c r="F52" s="60" cm="1">
        <f t="array" ref="F52">PH(0,F7,F50)</f>
        <v>0.96321790348403402</v>
      </c>
    </row>
    <row r="53" spans="2:13" x14ac:dyDescent="0.35">
      <c r="B53" s="36" t="str">
        <f>IF(D12="Exponential", "Exponential Model λ", "Random-Walk Model α")</f>
        <v>Random-Walk Model α</v>
      </c>
      <c r="C53" s="44"/>
      <c r="D53" s="15" cm="1">
        <f t="array" ref="D53">IF(D12="Exponential", EXP_LAMB(D52,D51,D9), WALK_ALPHA(D9,D50,SIGMA(D6, D51)))</f>
        <v>1.0378865358585012E-7</v>
      </c>
      <c r="E53" s="15" cm="1">
        <f t="array" ref="E53">IF(E12="Exponential", EXP_LAMB(E52,E51,E9), WALK_ALPHA(E9,E50,SIGMA(E6, E51)))</f>
        <v>4.9072319051528804E-6</v>
      </c>
      <c r="F53" s="59" cm="1">
        <f t="array" ref="F53">IF(F12="Exponential", EXP_LAMB(F52,F51,F9), WALK_ALPHA(F9,F50,SIGMA(F6, F51)))</f>
        <v>8.4739214561481771E-4</v>
      </c>
    </row>
    <row r="54" spans="2:13" x14ac:dyDescent="0.35">
      <c r="B54" s="36" t="s">
        <v>84</v>
      </c>
      <c r="C54" s="44"/>
      <c r="D54" s="17" cm="1">
        <f t="array" ref="D54">IF(D15="None",D50,IF(D15="EOPR Target", SIGMA(D6,D16), SIGMA_T(D12,D16,D6,D52,D48,D53)))</f>
        <v>6.7802409917535158E-4</v>
      </c>
      <c r="E54" s="17" cm="1">
        <f t="array" ref="E54">IF(E15="None",E50,IF(E15="EOPR Target", SIGMA(E6,E16), SIGMA_T(E12,E16,E6,E52,E48,E53)))</f>
        <v>3.9618109500825036E-3</v>
      </c>
      <c r="F54" s="61" cm="1">
        <f t="array" ref="F54">IF(F15="None",F50,IF(F15="EOPR Target", SIGMA(F6,F16), SIGMA_T(F12,F16,F6,F52,F48,F53)))</f>
        <v>2.3944359036952065E-2</v>
      </c>
    </row>
    <row r="55" spans="2:13" x14ac:dyDescent="0.35">
      <c r="B55" s="36" t="s">
        <v>85</v>
      </c>
      <c r="C55" s="44"/>
      <c r="D55" s="15">
        <f>SQRT(D54^2+D48^2)</f>
        <v>1.0781824741695545E-3</v>
      </c>
      <c r="E55" s="15">
        <f t="shared" ref="E55:F55" si="6">SQRT(E54^2+E48^2)</f>
        <v>4.3824676193773846E-3</v>
      </c>
      <c r="F55" s="59">
        <f t="shared" si="6"/>
        <v>2.5510672846232704E-2</v>
      </c>
    </row>
    <row r="56" spans="2:13" x14ac:dyDescent="0.35">
      <c r="B56" s="36" t="s">
        <v>86</v>
      </c>
      <c r="C56" s="44"/>
      <c r="D56" s="18" cm="1">
        <f t="array" ref="D56">PH(0, D6, D55)</f>
        <v>0.9363999999999999</v>
      </c>
      <c r="E56" s="18" cm="1">
        <f t="array" ref="E56">PH(0, E6, E55)</f>
        <v>0.97750000000000004</v>
      </c>
      <c r="F56" s="62" cm="1">
        <f t="array" ref="F56">PH(0, F6, F55)</f>
        <v>0.95</v>
      </c>
    </row>
    <row r="57" spans="2:13" x14ac:dyDescent="0.35">
      <c r="B57" s="36" t="s">
        <v>87</v>
      </c>
      <c r="C57" s="44"/>
      <c r="D57" s="18" cm="1">
        <f t="array" ref="D57">PH(0, D6, D54)</f>
        <v>0.99681966435154434</v>
      </c>
      <c r="E57" s="18" cm="1">
        <f t="array" ref="E57">PH(0, E6, E54)</f>
        <v>0.98840044881546629</v>
      </c>
      <c r="F57" s="62" cm="1">
        <f t="array" ref="F57">PH(0, F6, F54)</f>
        <v>0.96321790348403402</v>
      </c>
    </row>
    <row r="58" spans="2:13" x14ac:dyDescent="0.35">
      <c r="B58" s="36" t="s">
        <v>88</v>
      </c>
      <c r="C58" s="44"/>
      <c r="D58" s="18" cm="1">
        <f t="array" ref="D58">2*NORMCDF(D6/D54)-1</f>
        <v>0.99681966435154434</v>
      </c>
      <c r="E58" s="18" cm="1">
        <f t="array" ref="E58">2*NORMCDF(E6/E54)-1</f>
        <v>0.98840044881546629</v>
      </c>
      <c r="F58" s="62" cm="1">
        <f t="array" ref="F58">2*NORMCDF(F6/F54)-1</f>
        <v>0.96321790348403402</v>
      </c>
    </row>
    <row r="59" spans="2:13" x14ac:dyDescent="0.35">
      <c r="B59" s="36" t="s">
        <v>89</v>
      </c>
      <c r="C59" s="44"/>
      <c r="D59" s="18" cm="1">
        <f t="array" ref="D59">2*NORMCDF(D7/D55)-1</f>
        <v>0.9363999999999999</v>
      </c>
      <c r="E59" s="18" cm="1">
        <f t="array" ref="E59">2*NORMCDF(E7/E55)-1</f>
        <v>0.97750000000000004</v>
      </c>
      <c r="F59" s="62" cm="1">
        <f t="array" ref="F59">2*NORMCDF(F7/F55)-1</f>
        <v>0.95</v>
      </c>
      <c r="H59" s="33"/>
      <c r="I59" s="33"/>
      <c r="J59" s="33"/>
      <c r="K59" s="33"/>
      <c r="L59" s="33"/>
      <c r="M59" s="33"/>
    </row>
    <row r="60" spans="2:13" x14ac:dyDescent="0.35">
      <c r="B60" s="36" t="s">
        <v>90</v>
      </c>
      <c r="C60" s="44"/>
      <c r="D60" s="18" cm="1">
        <f t="array" ref="D60">P_EINA(D6,D7,D48,D54)</f>
        <v>0.935092086565393</v>
      </c>
      <c r="E60" s="18" cm="1">
        <f t="array" ref="E60">P_EINA(E6,E7,E48,E54)</f>
        <v>0.97416740434345395</v>
      </c>
      <c r="F60" s="62" cm="1">
        <f t="array" ref="F60">P_EINA(F6,F7,F48,F54)</f>
        <v>0.94145687996186456</v>
      </c>
    </row>
    <row r="61" spans="2:13" x14ac:dyDescent="0.35">
      <c r="B61" s="36" t="s">
        <v>91</v>
      </c>
      <c r="C61" s="44"/>
      <c r="D61" s="18">
        <f>D59-D60</f>
        <v>1.3079134346068999E-3</v>
      </c>
      <c r="E61" s="18">
        <f t="shared" ref="E61:F61" si="7">E59-E60</f>
        <v>3.332595656546089E-3</v>
      </c>
      <c r="F61" s="62">
        <f t="shared" si="7"/>
        <v>8.5431200381353989E-3</v>
      </c>
    </row>
    <row r="62" spans="2:13" x14ac:dyDescent="0.35">
      <c r="B62" s="36" t="s">
        <v>92</v>
      </c>
      <c r="C62" s="44"/>
      <c r="D62" s="18">
        <f>1-D60/D59</f>
        <v>1.3967465128223999E-3</v>
      </c>
      <c r="E62" s="18">
        <f t="shared" ref="E62:F62" si="8">1-E60/E59</f>
        <v>3.4093050194844432E-3</v>
      </c>
      <c r="F62" s="62">
        <f t="shared" si="8"/>
        <v>8.992757934879414E-3</v>
      </c>
    </row>
    <row r="63" spans="2:13" x14ac:dyDescent="0.35">
      <c r="B63" s="36" t="s">
        <v>93</v>
      </c>
      <c r="C63" s="44"/>
      <c r="D63" s="18" cm="1">
        <f t="array" ref="D63">PH(0,D7,D55)</f>
        <v>0.9363999999999999</v>
      </c>
      <c r="E63" s="18" cm="1">
        <f t="array" ref="E63">PH(0,E7,E55)</f>
        <v>0.97750000000000004</v>
      </c>
      <c r="F63" s="62" cm="1">
        <f t="array" ref="F63">PH(0,F7,F55)</f>
        <v>0.95</v>
      </c>
    </row>
    <row r="64" spans="2:13" x14ac:dyDescent="0.35">
      <c r="B64" s="36" t="s">
        <v>94</v>
      </c>
      <c r="C64" s="44"/>
      <c r="D64" s="18" cm="1">
        <f t="array" ref="D64">1-PH(0,D8,D55)</f>
        <v>6.3600000000000101E-2</v>
      </c>
      <c r="E64" s="18" cm="1">
        <f t="array" ref="E64">1-PH(0,E8,E55)</f>
        <v>2.2499999999999964E-2</v>
      </c>
      <c r="F64" s="62" cm="1">
        <f t="array" ref="F64">1-PH(0,F8,F55)</f>
        <v>5.0000000000000044E-2</v>
      </c>
    </row>
    <row r="65" spans="2:6" x14ac:dyDescent="0.35">
      <c r="B65" s="36" t="s">
        <v>95</v>
      </c>
      <c r="C65" s="44"/>
      <c r="D65" s="18">
        <f>(1-D63)-D64</f>
        <v>0</v>
      </c>
      <c r="E65" s="18">
        <f t="shared" ref="E65:F65" si="9">(1-E63)-E64</f>
        <v>0</v>
      </c>
      <c r="F65" s="62">
        <f t="shared" si="9"/>
        <v>0</v>
      </c>
    </row>
    <row r="66" spans="2:6" x14ac:dyDescent="0.35">
      <c r="B66" s="36" t="s">
        <v>96</v>
      </c>
      <c r="C66" s="44"/>
      <c r="D66" s="18">
        <f>D64+D65</f>
        <v>6.3600000000000101E-2</v>
      </c>
      <c r="E66" s="18">
        <f t="shared" ref="E66:F66" si="10">E64+E65</f>
        <v>2.2499999999999964E-2</v>
      </c>
      <c r="F66" s="62">
        <f t="shared" si="10"/>
        <v>5.0000000000000044E-2</v>
      </c>
    </row>
    <row r="67" spans="2:6" x14ac:dyDescent="0.35">
      <c r="B67" s="36" t="s">
        <v>97</v>
      </c>
      <c r="C67" s="38"/>
      <c r="D67" s="48">
        <f>D24+D25*D65+D26*D64</f>
        <v>31.908000000000001</v>
      </c>
      <c r="E67" s="48">
        <f>E24+E25*E65+E26*E64</f>
        <v>0.51499999999999946</v>
      </c>
      <c r="F67" s="63">
        <f>F24+F25*F65+F26*F64</f>
        <v>0.85000000000000031</v>
      </c>
    </row>
    <row r="68" spans="2:6" x14ac:dyDescent="0.35">
      <c r="B68" s="36" t="s">
        <v>98</v>
      </c>
      <c r="C68" s="38"/>
      <c r="D68" s="25">
        <f>(D67/(D30*365)*D18*D27)</f>
        <v>2.6225753424657534</v>
      </c>
      <c r="E68" s="25">
        <f>(E67/(E30*365)*E18*E27)</f>
        <v>2.5397260273972579E-2</v>
      </c>
      <c r="F68" s="64">
        <f>(F67/(F30*365)*F18*F27)</f>
        <v>3.7260273972602751</v>
      </c>
    </row>
    <row r="69" spans="2:6" ht="15" thickBot="1" x14ac:dyDescent="0.4">
      <c r="B69" s="37" t="s">
        <v>99</v>
      </c>
      <c r="C69" s="65"/>
      <c r="D69" s="66">
        <f>(D18+D68)/D30</f>
        <v>310.490301369863</v>
      </c>
      <c r="E69" s="66">
        <f>(E18+E68)/E30</f>
        <v>90.030476712328763</v>
      </c>
      <c r="F69" s="67">
        <f>(F18+F68)/F30</f>
        <v>1614.9041095890411</v>
      </c>
    </row>
  </sheetData>
  <mergeCells count="4">
    <mergeCell ref="B17:F17"/>
    <mergeCell ref="B29:F29"/>
    <mergeCell ref="H2:I2"/>
    <mergeCell ref="K2:L2"/>
  </mergeCells>
  <dataValidations count="3">
    <dataValidation type="list" allowBlank="1" showInputMessage="1" showErrorMessage="1" sqref="D15:F15" xr:uid="{CD49B3E4-7A2E-4873-805B-1F43F17FB18B}">
      <formula1>TrialIntervals</formula1>
    </dataValidation>
    <dataValidation type="list" allowBlank="1" showInputMessage="1" showErrorMessage="1" sqref="D12:F12" xr:uid="{FD5B0723-A1C4-441D-A657-531A35E4F519}">
      <formula1>ReliabilityModels</formula1>
    </dataValidation>
    <dataValidation type="list" allowBlank="1" showInputMessage="1" showErrorMessage="1" sqref="D11:F11" xr:uid="{EFCE4535-7D66-4CBE-94EE-B20A481683E2}">
      <formula1>RenewalPolicies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A976B-1C18-4AAF-B61D-D050909A47AF}">
  <dimension ref="A1:C4"/>
  <sheetViews>
    <sheetView workbookViewId="0">
      <selection activeCell="B9" sqref="B9"/>
    </sheetView>
  </sheetViews>
  <sheetFormatPr defaultRowHeight="14.5" x14ac:dyDescent="0.35"/>
  <cols>
    <col min="1" max="1" width="18.81640625" customWidth="1"/>
    <col min="2" max="3" width="18.453125" customWidth="1"/>
  </cols>
  <sheetData>
    <row r="1" spans="1:3" x14ac:dyDescent="0.35">
      <c r="A1" s="27" t="s">
        <v>105</v>
      </c>
      <c r="B1" s="27" t="s">
        <v>106</v>
      </c>
      <c r="C1" s="27" t="s">
        <v>107</v>
      </c>
    </row>
    <row r="2" spans="1:3" x14ac:dyDescent="0.35">
      <c r="A2" s="26" t="s">
        <v>49</v>
      </c>
      <c r="B2" s="26" t="s">
        <v>52</v>
      </c>
      <c r="C2" s="26" t="s">
        <v>55</v>
      </c>
    </row>
    <row r="3" spans="1:3" x14ac:dyDescent="0.35">
      <c r="A3" s="26" t="s">
        <v>108</v>
      </c>
      <c r="B3" s="26" t="s">
        <v>103</v>
      </c>
      <c r="C3" s="26" t="s">
        <v>109</v>
      </c>
    </row>
    <row r="4" spans="1:3" x14ac:dyDescent="0.35">
      <c r="A4" s="26" t="s">
        <v>110</v>
      </c>
      <c r="B4" s="26"/>
      <c r="C4" s="26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Instructions</vt:lpstr>
      <vt:lpstr>Solar Experiment</vt:lpstr>
      <vt:lpstr>Altimeter</vt:lpstr>
      <vt:lpstr>Lookups</vt:lpstr>
      <vt:lpstr>ReliabilityModels</vt:lpstr>
      <vt:lpstr>RenewalPolicies</vt:lpstr>
      <vt:lpstr>TrialIntervals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Delker, Collin</dc:creator>
  <cp:keywords/>
  <dc:description/>
  <cp:lastModifiedBy>Delker, Collin</cp:lastModifiedBy>
  <cp:revision/>
  <dcterms:created xsi:type="dcterms:W3CDTF">2025-11-18T15:28:16Z</dcterms:created>
  <dcterms:modified xsi:type="dcterms:W3CDTF">2026-03-27T17:17:07Z</dcterms:modified>
  <cp:category/>
  <cp:contentStatus/>
</cp:coreProperties>
</file>